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 Mummery\Documents\Personal\SGS\2324\"/>
    </mc:Choice>
  </mc:AlternateContent>
  <xr:revisionPtr revIDLastSave="0" documentId="13_ncr:1_{1FC2C3CA-9864-46F8-9992-F7B8962EDA34}" xr6:coauthVersionLast="47" xr6:coauthVersionMax="47" xr10:uidLastSave="{00000000-0000-0000-0000-000000000000}"/>
  <bookViews>
    <workbookView xWindow="-120" yWindow="-120" windowWidth="29040" windowHeight="15720" tabRatio="814" firstSheet="1" activeTab="1" xr2:uid="{00000000-000D-0000-FFFF-FFFF00000000}"/>
  </bookViews>
  <sheets>
    <sheet name="Summary" sheetId="1" r:id="rId1"/>
    <sheet name="Management accounts" sheetId="40" r:id="rId2"/>
    <sheet name="Assumptions" sheetId="31" r:id="rId3"/>
    <sheet name="Non concert" sheetId="30" r:id="rId4"/>
    <sheet name="SD summary" sheetId="33" r:id="rId5"/>
    <sheet name="Concert summary" sheetId="32" r:id="rId6"/>
    <sheet name="1819 concert" sheetId="34" r:id="rId7"/>
    <sheet name="1920 concert" sheetId="35" r:id="rId8"/>
    <sheet name="2021 concert" sheetId="36" r:id="rId9"/>
    <sheet name="2122 concert" sheetId="37" r:id="rId10"/>
    <sheet name="2223 concert" sheetId="38" r:id="rId11"/>
    <sheet name="2324 concert" sheetId="39" r:id="rId12"/>
    <sheet name="Blank" sheetId="4" state="hidden" r:id="rId13"/>
  </sheets>
  <externalReferences>
    <externalReference r:id="rId14"/>
    <externalReference r:id="rId15"/>
  </externalReferences>
  <definedNames>
    <definedName name="_xlnm.Print_Area" localSheetId="12">Blank!$A$3:$M$55</definedName>
    <definedName name="_xlnm.Print_Area" localSheetId="1">'Management accounts'!$A$1:$J$42</definedName>
    <definedName name="_xlnm.Print_Area" localSheetId="0">Summary!$A$1:$K$26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39" l="1"/>
  <c r="J35" i="33"/>
  <c r="J30" i="30"/>
  <c r="E36" i="40"/>
  <c r="E35" i="40"/>
  <c r="E31" i="40"/>
  <c r="E30" i="40"/>
  <c r="E26" i="40"/>
  <c r="E25" i="40"/>
  <c r="E21" i="40"/>
  <c r="E20" i="40"/>
  <c r="E16" i="40"/>
  <c r="E15" i="40"/>
  <c r="E9" i="40"/>
  <c r="E10" i="40"/>
  <c r="E8" i="40"/>
  <c r="E5" i="40"/>
  <c r="E4" i="40"/>
  <c r="J17" i="30" l="1"/>
  <c r="J13" i="30"/>
  <c r="J25" i="33" l="1"/>
  <c r="J11" i="33" l="1"/>
  <c r="J15" i="33" l="1"/>
  <c r="J14" i="33"/>
  <c r="G29" i="39"/>
  <c r="F26" i="39" l="1"/>
  <c r="E40" i="39" l="1"/>
  <c r="H11" i="39"/>
  <c r="G28" i="31"/>
  <c r="J28" i="31"/>
  <c r="H12" i="39"/>
  <c r="N11" i="31" l="1"/>
  <c r="I27" i="30" l="1"/>
  <c r="E45" i="38"/>
  <c r="I18" i="30"/>
  <c r="H14" i="38" l="1"/>
  <c r="H15" i="38"/>
  <c r="H13" i="38"/>
  <c r="H12" i="38"/>
  <c r="H22" i="38"/>
  <c r="H30" i="38"/>
  <c r="H16" i="38"/>
  <c r="I12" i="30"/>
  <c r="H46" i="38"/>
  <c r="I41" i="30" l="1"/>
  <c r="G12" i="38"/>
  <c r="E37" i="40" l="1"/>
  <c r="E32" i="40"/>
  <c r="E27" i="40"/>
  <c r="E22" i="40"/>
  <c r="E17" i="40"/>
  <c r="E11" i="40"/>
  <c r="E6" i="40"/>
  <c r="E12" i="40" l="1"/>
  <c r="E39" i="40"/>
  <c r="H33" i="39"/>
  <c r="E41" i="40" l="1"/>
  <c r="G17" i="38" l="1"/>
  <c r="G22" i="38"/>
  <c r="I11" i="30"/>
  <c r="I21" i="31" l="1"/>
  <c r="J42" i="30" l="1"/>
  <c r="R17" i="30" l="1"/>
  <c r="F33" i="39" l="1"/>
  <c r="E33" i="39"/>
  <c r="J17" i="31"/>
  <c r="I34" i="30" l="1"/>
  <c r="I15" i="33"/>
  <c r="M11" i="31" l="1"/>
  <c r="J30" i="31" l="1"/>
  <c r="H47" i="32"/>
  <c r="G47" i="32"/>
  <c r="F47" i="32"/>
  <c r="E47" i="32"/>
  <c r="G46" i="32"/>
  <c r="H29" i="39"/>
  <c r="F17" i="39"/>
  <c r="F21" i="39" s="1"/>
  <c r="F20" i="40" s="1"/>
  <c r="G20" i="40" s="1"/>
  <c r="J16" i="32"/>
  <c r="I13" i="39"/>
  <c r="J13" i="32" s="1"/>
  <c r="I14" i="39"/>
  <c r="J14" i="32" s="1"/>
  <c r="I20" i="39"/>
  <c r="J20" i="32" s="1"/>
  <c r="I19" i="39"/>
  <c r="J19" i="32" s="1"/>
  <c r="I18" i="39"/>
  <c r="J18" i="32" s="1"/>
  <c r="I15" i="39"/>
  <c r="J15" i="32" s="1"/>
  <c r="J31" i="31"/>
  <c r="I43" i="39"/>
  <c r="I44" i="39"/>
  <c r="I45" i="39"/>
  <c r="I46" i="39"/>
  <c r="J46" i="32" s="1"/>
  <c r="F17" i="38"/>
  <c r="E67" i="38"/>
  <c r="E17" i="39" l="1"/>
  <c r="G17" i="39"/>
  <c r="G21" i="39" s="1"/>
  <c r="F30" i="40" s="1"/>
  <c r="G30" i="40" s="1"/>
  <c r="H17" i="39"/>
  <c r="H21" i="39" s="1"/>
  <c r="F35" i="40" s="1"/>
  <c r="G35" i="40" s="1"/>
  <c r="I13" i="30"/>
  <c r="F15" i="40" l="1"/>
  <c r="G15" i="40" s="1"/>
  <c r="E21" i="39"/>
  <c r="I17" i="39"/>
  <c r="J17" i="32" s="1"/>
  <c r="F21" i="38"/>
  <c r="F22" i="38" s="1"/>
  <c r="E31" i="38" l="1"/>
  <c r="G29" i="38" l="1"/>
  <c r="F55" i="38" l="1"/>
  <c r="G55" i="38"/>
  <c r="H55" i="38"/>
  <c r="F56" i="38"/>
  <c r="G56" i="38"/>
  <c r="H56" i="38"/>
  <c r="E56" i="38"/>
  <c r="E55" i="38"/>
  <c r="F54" i="38"/>
  <c r="G54" i="38"/>
  <c r="H54" i="38"/>
  <c r="E54" i="38"/>
  <c r="I20" i="31" l="1"/>
  <c r="I23" i="31"/>
  <c r="I24" i="31"/>
  <c r="H26" i="38" l="1"/>
  <c r="F26" i="38"/>
  <c r="P24" i="31"/>
  <c r="P25" i="31" s="1"/>
  <c r="J21" i="31" l="1"/>
  <c r="F9" i="40" s="1"/>
  <c r="G9" i="40" s="1"/>
  <c r="J22" i="31"/>
  <c r="J23" i="31"/>
  <c r="J24" i="31"/>
  <c r="G26" i="39" l="1"/>
  <c r="E26" i="39"/>
  <c r="H26" i="39"/>
  <c r="H41" i="30"/>
  <c r="I25" i="31" l="1"/>
  <c r="I26" i="31"/>
  <c r="J26" i="31" s="1"/>
  <c r="I27" i="31"/>
  <c r="J27" i="31" s="1"/>
  <c r="G28" i="39" l="1"/>
  <c r="F28" i="39"/>
  <c r="H17" i="37"/>
  <c r="H11" i="33"/>
  <c r="H26" i="37" l="1"/>
  <c r="H29" i="37" l="1"/>
  <c r="H18" i="30"/>
  <c r="G22" i="37" l="1"/>
  <c r="G17" i="37"/>
  <c r="I30" i="31" l="1"/>
  <c r="G34" i="37" l="1"/>
  <c r="E29" i="38" l="1"/>
  <c r="G40" i="37" l="1"/>
  <c r="F28" i="37" l="1"/>
  <c r="H13" i="30" l="1"/>
  <c r="F12" i="37" l="1"/>
  <c r="F26" i="37" l="1"/>
  <c r="G29" i="37" l="1"/>
  <c r="E22" i="37" l="1"/>
  <c r="G27" i="37" l="1"/>
  <c r="G20" i="33" l="1"/>
  <c r="G11" i="30" l="1"/>
  <c r="H45" i="31" l="1"/>
  <c r="G33" i="37" s="1"/>
  <c r="E26" i="37" l="1"/>
  <c r="E47" i="37"/>
  <c r="H21" i="37" l="1"/>
  <c r="E17" i="37"/>
  <c r="H47" i="37"/>
  <c r="H49" i="37" l="1"/>
  <c r="G13" i="30" l="1"/>
  <c r="E21" i="37" l="1"/>
  <c r="E49" i="37" s="1"/>
  <c r="F29" i="30"/>
  <c r="F11" i="30"/>
  <c r="G40" i="35" l="1"/>
  <c r="F12" i="35"/>
  <c r="E11" i="35"/>
  <c r="F28" i="30"/>
  <c r="H46" i="31" l="1"/>
  <c r="E21" i="38" l="1"/>
  <c r="G26" i="37"/>
  <c r="F17" i="37"/>
  <c r="F21" i="37" s="1"/>
  <c r="H17" i="38" l="1"/>
  <c r="H21" i="38" s="1"/>
  <c r="G21" i="38"/>
  <c r="G21" i="37"/>
  <c r="G44" i="31" l="1"/>
  <c r="H44" i="31" s="1"/>
  <c r="I44" i="31" s="1"/>
  <c r="J44" i="31" s="1"/>
  <c r="G48" i="31"/>
  <c r="H48" i="31" s="1"/>
  <c r="I48" i="31" s="1"/>
  <c r="J48" i="31" s="1"/>
  <c r="G43" i="31"/>
  <c r="F33" i="38" l="1"/>
  <c r="J47" i="31"/>
  <c r="I45" i="31"/>
  <c r="J45" i="31" s="1"/>
  <c r="I46" i="31"/>
  <c r="J46" i="31" s="1"/>
  <c r="H17" i="36"/>
  <c r="H21" i="36" s="1"/>
  <c r="F17" i="36" l="1"/>
  <c r="F21" i="36" s="1"/>
  <c r="G17" i="36"/>
  <c r="G21" i="36" s="1"/>
  <c r="E17" i="36"/>
  <c r="E21" i="36" s="1"/>
  <c r="G27" i="31"/>
  <c r="F28" i="36" s="1"/>
  <c r="G24" i="31"/>
  <c r="H15" i="35"/>
  <c r="H12" i="35"/>
  <c r="G28" i="35"/>
  <c r="G18" i="35"/>
  <c r="G15" i="35"/>
  <c r="G12" i="35"/>
  <c r="G17" i="35" s="1"/>
  <c r="E16" i="32"/>
  <c r="G16" i="32"/>
  <c r="H16" i="32"/>
  <c r="I16" i="32"/>
  <c r="F15" i="35"/>
  <c r="F14" i="35"/>
  <c r="F13" i="35"/>
  <c r="F11" i="35"/>
  <c r="E47" i="35"/>
  <c r="F26" i="36" l="1"/>
  <c r="E26" i="36"/>
  <c r="G26" i="38"/>
  <c r="G47" i="38" s="1"/>
  <c r="E26" i="38"/>
  <c r="G28" i="38"/>
  <c r="F28" i="38"/>
  <c r="F17" i="35"/>
  <c r="H17" i="35"/>
  <c r="G21" i="35" l="1"/>
  <c r="H21" i="35"/>
  <c r="F21" i="35"/>
  <c r="I16" i="35" l="1"/>
  <c r="F16" i="32" s="1"/>
  <c r="E17" i="35" l="1"/>
  <c r="E21" i="35" s="1"/>
  <c r="F21" i="31" l="1"/>
  <c r="E31" i="30" l="1"/>
  <c r="F47" i="34"/>
  <c r="F21" i="34"/>
  <c r="F49" i="34" l="1"/>
  <c r="H48" i="39" l="1"/>
  <c r="G48" i="39"/>
  <c r="F48" i="39"/>
  <c r="E48" i="39"/>
  <c r="F16" i="40" s="1"/>
  <c r="I47" i="39"/>
  <c r="J47" i="32" s="1"/>
  <c r="J45" i="32"/>
  <c r="J44" i="32"/>
  <c r="J43" i="32"/>
  <c r="I41" i="39"/>
  <c r="J41" i="32" s="1"/>
  <c r="I40" i="39"/>
  <c r="J40" i="32" s="1"/>
  <c r="I39" i="39"/>
  <c r="J39" i="32" s="1"/>
  <c r="I38" i="39"/>
  <c r="J38" i="32" s="1"/>
  <c r="I36" i="39"/>
  <c r="J36" i="32" s="1"/>
  <c r="I35" i="39"/>
  <c r="J35" i="32" s="1"/>
  <c r="I34" i="39"/>
  <c r="J34" i="32" s="1"/>
  <c r="I33" i="39"/>
  <c r="J33" i="32" s="1"/>
  <c r="I31" i="39"/>
  <c r="J31" i="32" s="1"/>
  <c r="I30" i="39"/>
  <c r="J30" i="32" s="1"/>
  <c r="I29" i="39"/>
  <c r="J29" i="32" s="1"/>
  <c r="I28" i="39"/>
  <c r="J28" i="32" s="1"/>
  <c r="I27" i="39"/>
  <c r="J27" i="32" s="1"/>
  <c r="I26" i="39"/>
  <c r="I21" i="39"/>
  <c r="I12" i="39"/>
  <c r="J12" i="32" s="1"/>
  <c r="I11" i="39"/>
  <c r="J11" i="32" s="1"/>
  <c r="H47" i="38"/>
  <c r="F47" i="38"/>
  <c r="E47" i="38"/>
  <c r="I46" i="38"/>
  <c r="I47" i="32" s="1"/>
  <c r="I45" i="38"/>
  <c r="I45" i="32" s="1"/>
  <c r="I44" i="38"/>
  <c r="I44" i="32" s="1"/>
  <c r="I43" i="38"/>
  <c r="I43" i="32" s="1"/>
  <c r="I41" i="38"/>
  <c r="I41" i="32" s="1"/>
  <c r="I40" i="38"/>
  <c r="I40" i="32" s="1"/>
  <c r="I39" i="38"/>
  <c r="I39" i="32" s="1"/>
  <c r="I38" i="38"/>
  <c r="I38" i="32" s="1"/>
  <c r="I36" i="38"/>
  <c r="I36" i="32" s="1"/>
  <c r="I35" i="38"/>
  <c r="I35" i="32" s="1"/>
  <c r="I34" i="38"/>
  <c r="I34" i="32" s="1"/>
  <c r="I33" i="38"/>
  <c r="I33" i="32" s="1"/>
  <c r="I31" i="38"/>
  <c r="I31" i="32" s="1"/>
  <c r="I30" i="38"/>
  <c r="I30" i="32" s="1"/>
  <c r="I29" i="38"/>
  <c r="I29" i="32" s="1"/>
  <c r="I28" i="38"/>
  <c r="I28" i="32" s="1"/>
  <c r="I27" i="38"/>
  <c r="I27" i="32" s="1"/>
  <c r="I26" i="38"/>
  <c r="I26" i="32" s="1"/>
  <c r="I22" i="38"/>
  <c r="I20" i="38"/>
  <c r="I20" i="32" s="1"/>
  <c r="I19" i="38"/>
  <c r="I19" i="32" s="1"/>
  <c r="I18" i="38"/>
  <c r="I18" i="32" s="1"/>
  <c r="I17" i="38"/>
  <c r="I15" i="38"/>
  <c r="I15" i="32" s="1"/>
  <c r="I14" i="38"/>
  <c r="I14" i="32" s="1"/>
  <c r="I13" i="38"/>
  <c r="I13" i="32" s="1"/>
  <c r="I12" i="38"/>
  <c r="I12" i="32" s="1"/>
  <c r="I11" i="38"/>
  <c r="I11" i="32" s="1"/>
  <c r="G47" i="37"/>
  <c r="F47" i="37"/>
  <c r="I46" i="37"/>
  <c r="I45" i="37"/>
  <c r="H45" i="32" s="1"/>
  <c r="I44" i="37"/>
  <c r="H44" i="32" s="1"/>
  <c r="I43" i="37"/>
  <c r="H43" i="32" s="1"/>
  <c r="I41" i="37"/>
  <c r="H41" i="32" s="1"/>
  <c r="I40" i="37"/>
  <c r="H40" i="32" s="1"/>
  <c r="I39" i="37"/>
  <c r="H39" i="32" s="1"/>
  <c r="I38" i="37"/>
  <c r="H38" i="32" s="1"/>
  <c r="I36" i="37"/>
  <c r="H36" i="32" s="1"/>
  <c r="I35" i="37"/>
  <c r="H35" i="32" s="1"/>
  <c r="I34" i="37"/>
  <c r="H34" i="32" s="1"/>
  <c r="I33" i="37"/>
  <c r="H33" i="32" s="1"/>
  <c r="I31" i="37"/>
  <c r="H31" i="32" s="1"/>
  <c r="I30" i="37"/>
  <c r="H30" i="32" s="1"/>
  <c r="I29" i="37"/>
  <c r="H29" i="32" s="1"/>
  <c r="I28" i="37"/>
  <c r="H28" i="32" s="1"/>
  <c r="I27" i="37"/>
  <c r="H27" i="32" s="1"/>
  <c r="I26" i="37"/>
  <c r="I22" i="37"/>
  <c r="I20" i="37"/>
  <c r="H20" i="32" s="1"/>
  <c r="I19" i="37"/>
  <c r="H19" i="32" s="1"/>
  <c r="I18" i="37"/>
  <c r="H18" i="32" s="1"/>
  <c r="I17" i="37"/>
  <c r="I15" i="37"/>
  <c r="H15" i="32" s="1"/>
  <c r="I14" i="37"/>
  <c r="H14" i="32" s="1"/>
  <c r="I13" i="37"/>
  <c r="H13" i="32" s="1"/>
  <c r="I12" i="37"/>
  <c r="H12" i="32" s="1"/>
  <c r="I11" i="37"/>
  <c r="H11" i="32" s="1"/>
  <c r="H47" i="36"/>
  <c r="G47" i="36"/>
  <c r="F47" i="36"/>
  <c r="E47" i="36"/>
  <c r="I46" i="36"/>
  <c r="I45" i="36"/>
  <c r="G45" i="32" s="1"/>
  <c r="I44" i="36"/>
  <c r="G44" i="32" s="1"/>
  <c r="I43" i="36"/>
  <c r="G43" i="32" s="1"/>
  <c r="I41" i="36"/>
  <c r="G41" i="32" s="1"/>
  <c r="I40" i="36"/>
  <c r="G40" i="32" s="1"/>
  <c r="I39" i="36"/>
  <c r="G39" i="32" s="1"/>
  <c r="I38" i="36"/>
  <c r="G38" i="32" s="1"/>
  <c r="I36" i="36"/>
  <c r="G36" i="32" s="1"/>
  <c r="I35" i="36"/>
  <c r="G35" i="32" s="1"/>
  <c r="I34" i="36"/>
  <c r="G34" i="32" s="1"/>
  <c r="I33" i="36"/>
  <c r="G33" i="32" s="1"/>
  <c r="I31" i="36"/>
  <c r="G31" i="32" s="1"/>
  <c r="I30" i="36"/>
  <c r="G30" i="32" s="1"/>
  <c r="I29" i="36"/>
  <c r="G29" i="32" s="1"/>
  <c r="I28" i="36"/>
  <c r="G28" i="32" s="1"/>
  <c r="I27" i="36"/>
  <c r="G27" i="32" s="1"/>
  <c r="I26" i="36"/>
  <c r="G26" i="32" s="1"/>
  <c r="I22" i="36"/>
  <c r="I20" i="36"/>
  <c r="G20" i="32" s="1"/>
  <c r="I19" i="36"/>
  <c r="G19" i="32" s="1"/>
  <c r="I18" i="36"/>
  <c r="G18" i="32" s="1"/>
  <c r="I17" i="36"/>
  <c r="I15" i="36"/>
  <c r="G15" i="32" s="1"/>
  <c r="I14" i="36"/>
  <c r="G14" i="32" s="1"/>
  <c r="I13" i="36"/>
  <c r="G13" i="32" s="1"/>
  <c r="I12" i="36"/>
  <c r="G12" i="32" s="1"/>
  <c r="I11" i="36"/>
  <c r="H47" i="35"/>
  <c r="H49" i="35" s="1"/>
  <c r="G47" i="35"/>
  <c r="G49" i="35" s="1"/>
  <c r="F47" i="35"/>
  <c r="F49" i="35" s="1"/>
  <c r="E49" i="35"/>
  <c r="I46" i="35"/>
  <c r="I45" i="35"/>
  <c r="F45" i="32" s="1"/>
  <c r="I44" i="35"/>
  <c r="F44" i="32" s="1"/>
  <c r="I43" i="35"/>
  <c r="F43" i="32" s="1"/>
  <c r="I41" i="35"/>
  <c r="F41" i="32" s="1"/>
  <c r="I40" i="35"/>
  <c r="F40" i="32" s="1"/>
  <c r="I39" i="35"/>
  <c r="F39" i="32" s="1"/>
  <c r="I38" i="35"/>
  <c r="F38" i="32" s="1"/>
  <c r="I36" i="35"/>
  <c r="F36" i="32" s="1"/>
  <c r="I35" i="35"/>
  <c r="F35" i="32" s="1"/>
  <c r="I34" i="35"/>
  <c r="F34" i="32" s="1"/>
  <c r="I33" i="35"/>
  <c r="F33" i="32" s="1"/>
  <c r="I31" i="35"/>
  <c r="F31" i="32" s="1"/>
  <c r="I30" i="35"/>
  <c r="F30" i="32" s="1"/>
  <c r="I29" i="35"/>
  <c r="F29" i="32" s="1"/>
  <c r="I28" i="35"/>
  <c r="F28" i="32" s="1"/>
  <c r="I27" i="35"/>
  <c r="F27" i="32" s="1"/>
  <c r="I26" i="35"/>
  <c r="I22" i="35"/>
  <c r="I20" i="35"/>
  <c r="F20" i="32" s="1"/>
  <c r="I19" i="35"/>
  <c r="F19" i="32" s="1"/>
  <c r="I18" i="35"/>
  <c r="I17" i="35"/>
  <c r="F17" i="32" s="1"/>
  <c r="I15" i="35"/>
  <c r="F15" i="32" s="1"/>
  <c r="I14" i="35"/>
  <c r="F14" i="32" s="1"/>
  <c r="I13" i="35"/>
  <c r="F13" i="32" s="1"/>
  <c r="I12" i="35"/>
  <c r="F12" i="32" s="1"/>
  <c r="I11" i="35"/>
  <c r="F11" i="32" s="1"/>
  <c r="J46" i="34"/>
  <c r="J45" i="34"/>
  <c r="E45" i="32" s="1"/>
  <c r="J44" i="34"/>
  <c r="E44" i="32" s="1"/>
  <c r="J43" i="34"/>
  <c r="E43" i="32" s="1"/>
  <c r="J41" i="34"/>
  <c r="E41" i="32" s="1"/>
  <c r="J40" i="34"/>
  <c r="E40" i="32" s="1"/>
  <c r="J39" i="34"/>
  <c r="E39" i="32" s="1"/>
  <c r="J38" i="34"/>
  <c r="E38" i="32" s="1"/>
  <c r="J36" i="34"/>
  <c r="E36" i="32" s="1"/>
  <c r="J35" i="34"/>
  <c r="E35" i="32" s="1"/>
  <c r="J34" i="34"/>
  <c r="E34" i="32" s="1"/>
  <c r="J33" i="34"/>
  <c r="E33" i="32" s="1"/>
  <c r="J31" i="34"/>
  <c r="E31" i="32" s="1"/>
  <c r="J30" i="34"/>
  <c r="E30" i="32" s="1"/>
  <c r="J29" i="34"/>
  <c r="E29" i="32" s="1"/>
  <c r="J28" i="34"/>
  <c r="E28" i="32" s="1"/>
  <c r="J27" i="34"/>
  <c r="E27" i="32" s="1"/>
  <c r="J26" i="34"/>
  <c r="E26" i="32" s="1"/>
  <c r="J22" i="34"/>
  <c r="J12" i="34"/>
  <c r="E12" i="32" s="1"/>
  <c r="J13" i="34"/>
  <c r="E13" i="32" s="1"/>
  <c r="J14" i="34"/>
  <c r="E14" i="32" s="1"/>
  <c r="J15" i="34"/>
  <c r="E15" i="32" s="1"/>
  <c r="J17" i="34"/>
  <c r="E17" i="32" s="1"/>
  <c r="J18" i="34"/>
  <c r="E18" i="32" s="1"/>
  <c r="J19" i="34"/>
  <c r="E19" i="32" s="1"/>
  <c r="J20" i="34"/>
  <c r="E20" i="32" s="1"/>
  <c r="J11" i="34"/>
  <c r="E11" i="32" s="1"/>
  <c r="I47" i="34"/>
  <c r="H47" i="34"/>
  <c r="G47" i="34"/>
  <c r="E47" i="34"/>
  <c r="I21" i="34"/>
  <c r="H21" i="34"/>
  <c r="G21" i="34"/>
  <c r="E21" i="34"/>
  <c r="F20" i="33"/>
  <c r="I20" i="33"/>
  <c r="F21" i="33"/>
  <c r="E21" i="33"/>
  <c r="E20" i="33"/>
  <c r="G26" i="31"/>
  <c r="J21" i="33" s="1"/>
  <c r="G23" i="31"/>
  <c r="J20" i="33" s="1"/>
  <c r="F12" i="33"/>
  <c r="F11" i="33"/>
  <c r="F50" i="39" l="1"/>
  <c r="F21" i="40"/>
  <c r="G50" i="39"/>
  <c r="F31" i="40"/>
  <c r="G16" i="40"/>
  <c r="F17" i="40"/>
  <c r="G17" i="40" s="1"/>
  <c r="H50" i="39"/>
  <c r="F36" i="40"/>
  <c r="G36" i="40" s="1"/>
  <c r="E21" i="32"/>
  <c r="I48" i="39"/>
  <c r="E50" i="39"/>
  <c r="J26" i="32"/>
  <c r="J21" i="32"/>
  <c r="E49" i="38"/>
  <c r="F49" i="38"/>
  <c r="G49" i="38"/>
  <c r="H49" i="38"/>
  <c r="F49" i="36"/>
  <c r="F49" i="37"/>
  <c r="G49" i="37"/>
  <c r="G49" i="36"/>
  <c r="H49" i="36"/>
  <c r="I17" i="32"/>
  <c r="I21" i="32" s="1"/>
  <c r="I21" i="38"/>
  <c r="I47" i="38"/>
  <c r="H17" i="32"/>
  <c r="H21" i="32" s="1"/>
  <c r="I21" i="37"/>
  <c r="I47" i="37"/>
  <c r="H26" i="32"/>
  <c r="G17" i="32"/>
  <c r="G21" i="32" s="1"/>
  <c r="I21" i="36"/>
  <c r="G11" i="32"/>
  <c r="H21" i="33"/>
  <c r="H20" i="33"/>
  <c r="I21" i="33"/>
  <c r="E49" i="36"/>
  <c r="I47" i="36"/>
  <c r="I47" i="35"/>
  <c r="F26" i="32"/>
  <c r="F18" i="32"/>
  <c r="F21" i="32" s="1"/>
  <c r="I21" i="35"/>
  <c r="I49" i="34"/>
  <c r="H49" i="34"/>
  <c r="E49" i="34"/>
  <c r="J21" i="34"/>
  <c r="J47" i="34"/>
  <c r="G49" i="34"/>
  <c r="G21" i="40" l="1"/>
  <c r="F22" i="40"/>
  <c r="G22" i="40" s="1"/>
  <c r="G31" i="40"/>
  <c r="F32" i="40"/>
  <c r="G32" i="40" s="1"/>
  <c r="F37" i="40"/>
  <c r="G37" i="40" s="1"/>
  <c r="I50" i="39"/>
  <c r="I49" i="38"/>
  <c r="I49" i="37"/>
  <c r="I49" i="36"/>
  <c r="I49" i="35"/>
  <c r="J49" i="34"/>
  <c r="J36" i="33"/>
  <c r="F26" i="40" s="1"/>
  <c r="I36" i="33"/>
  <c r="H36" i="33"/>
  <c r="G36" i="33"/>
  <c r="F36" i="33"/>
  <c r="E36" i="33"/>
  <c r="J16" i="33"/>
  <c r="I16" i="33"/>
  <c r="H16" i="33"/>
  <c r="G16" i="1" s="1"/>
  <c r="G16" i="33"/>
  <c r="F16" i="1" s="1"/>
  <c r="F16" i="33"/>
  <c r="E16" i="33"/>
  <c r="F48" i="32"/>
  <c r="G48" i="32"/>
  <c r="H48" i="32"/>
  <c r="I48" i="32"/>
  <c r="J48" i="32"/>
  <c r="E48" i="32"/>
  <c r="G44" i="30"/>
  <c r="I16" i="1" l="1"/>
  <c r="F25" i="40"/>
  <c r="G25" i="40" s="1"/>
  <c r="G26" i="40"/>
  <c r="J50" i="32"/>
  <c r="I17" i="1"/>
  <c r="H16" i="1"/>
  <c r="H17" i="1"/>
  <c r="G17" i="1"/>
  <c r="F17" i="1"/>
  <c r="G50" i="32"/>
  <c r="F50" i="32"/>
  <c r="E50" i="32"/>
  <c r="F38" i="33"/>
  <c r="J38" i="33"/>
  <c r="H38" i="33"/>
  <c r="E38" i="33"/>
  <c r="I38" i="33"/>
  <c r="G38" i="33"/>
  <c r="I50" i="32"/>
  <c r="H50" i="32"/>
  <c r="F27" i="40" l="1"/>
  <c r="G27" i="40" s="1"/>
  <c r="J43" i="30"/>
  <c r="I39" i="30"/>
  <c r="F30" i="30"/>
  <c r="F31" i="30"/>
  <c r="E17" i="31"/>
  <c r="F17" i="31"/>
  <c r="F27" i="30" s="1"/>
  <c r="I17" i="31"/>
  <c r="F39" i="40" l="1"/>
  <c r="G39" i="40" s="1"/>
  <c r="J39" i="30"/>
  <c r="F47" i="30"/>
  <c r="G21" i="31"/>
  <c r="G31" i="31"/>
  <c r="G31" i="30" s="1"/>
  <c r="H29" i="30"/>
  <c r="G25" i="31"/>
  <c r="G20" i="31"/>
  <c r="E12" i="31"/>
  <c r="H31" i="31" l="1"/>
  <c r="I29" i="30"/>
  <c r="J31" i="30"/>
  <c r="J24" i="30" l="1"/>
  <c r="F5" i="40" s="1"/>
  <c r="G5" i="40" s="1"/>
  <c r="H47" i="30"/>
  <c r="G12" i="1" s="1"/>
  <c r="G47" i="30"/>
  <c r="F12" i="1" s="1"/>
  <c r="F22" i="1" s="1"/>
  <c r="E47" i="30"/>
  <c r="F24" i="30"/>
  <c r="G24" i="30"/>
  <c r="H24" i="30"/>
  <c r="E24" i="30"/>
  <c r="F4" i="40" l="1"/>
  <c r="G4" i="40" s="1"/>
  <c r="I24" i="30"/>
  <c r="G22" i="1"/>
  <c r="F8" i="40"/>
  <c r="G8" i="40" s="1"/>
  <c r="G49" i="30"/>
  <c r="F11" i="1"/>
  <c r="I11" i="1"/>
  <c r="H49" i="30"/>
  <c r="G11" i="1"/>
  <c r="F49" i="30"/>
  <c r="E49" i="30"/>
  <c r="F18" i="1"/>
  <c r="G18" i="1"/>
  <c r="H18" i="1"/>
  <c r="I18" i="1"/>
  <c r="F6" i="40" l="1"/>
  <c r="G6" i="40" s="1"/>
  <c r="H11" i="1"/>
  <c r="I47" i="30"/>
  <c r="J47" i="30"/>
  <c r="F10" i="40" s="1"/>
  <c r="G10" i="40" s="1"/>
  <c r="I21" i="1"/>
  <c r="G13" i="1"/>
  <c r="G21" i="1"/>
  <c r="F13" i="1"/>
  <c r="F21" i="1"/>
  <c r="F23" i="1" s="1"/>
  <c r="K13" i="4"/>
  <c r="K24" i="4"/>
  <c r="M49" i="4"/>
  <c r="E49" i="4" s="1"/>
  <c r="I49" i="4" s="1"/>
  <c r="G49" i="4"/>
  <c r="G32" i="4"/>
  <c r="G31" i="4"/>
  <c r="I31" i="4" s="1"/>
  <c r="G30" i="4"/>
  <c r="G29" i="4"/>
  <c r="G28" i="4"/>
  <c r="G27" i="4"/>
  <c r="I27" i="4" s="1"/>
  <c r="G38" i="4"/>
  <c r="G37" i="4"/>
  <c r="G36" i="4"/>
  <c r="G35" i="4"/>
  <c r="I35" i="4" s="1"/>
  <c r="G34" i="4"/>
  <c r="G44" i="4"/>
  <c r="G43" i="4"/>
  <c r="G42" i="4"/>
  <c r="G41" i="4"/>
  <c r="G40" i="4"/>
  <c r="M41" i="4"/>
  <c r="E41" i="4"/>
  <c r="M50" i="4"/>
  <c r="E50" i="4" s="1"/>
  <c r="I50" i="4" s="1"/>
  <c r="M48" i="4"/>
  <c r="E48" i="4"/>
  <c r="I48" i="4" s="1"/>
  <c r="G48" i="4"/>
  <c r="M47" i="4"/>
  <c r="E47" i="4"/>
  <c r="M46" i="4"/>
  <c r="E46" i="4" s="1"/>
  <c r="I46" i="4" s="1"/>
  <c r="M44" i="4"/>
  <c r="E44" i="4"/>
  <c r="M43" i="4"/>
  <c r="E43" i="4" s="1"/>
  <c r="I43" i="4" s="1"/>
  <c r="M42" i="4"/>
  <c r="E42" i="4"/>
  <c r="M40" i="4"/>
  <c r="E40" i="4" s="1"/>
  <c r="I40" i="4" s="1"/>
  <c r="M38" i="4"/>
  <c r="E38" i="4"/>
  <c r="M37" i="4"/>
  <c r="E37" i="4" s="1"/>
  <c r="I37" i="4" s="1"/>
  <c r="M36" i="4"/>
  <c r="E36" i="4"/>
  <c r="M35" i="4"/>
  <c r="E35" i="4" s="1"/>
  <c r="M34" i="4"/>
  <c r="E34" i="4"/>
  <c r="M32" i="4"/>
  <c r="E32" i="4" s="1"/>
  <c r="I32" i="4" s="1"/>
  <c r="M31" i="4"/>
  <c r="E31" i="4"/>
  <c r="M30" i="4"/>
  <c r="E30" i="4" s="1"/>
  <c r="I30" i="4" s="1"/>
  <c r="M29" i="4"/>
  <c r="E29" i="4"/>
  <c r="M28" i="4"/>
  <c r="E28" i="4" s="1"/>
  <c r="M27" i="4"/>
  <c r="E27" i="4"/>
  <c r="M11" i="4"/>
  <c r="M12" i="4"/>
  <c r="M10" i="4"/>
  <c r="M22" i="4"/>
  <c r="M21" i="4"/>
  <c r="M20" i="4"/>
  <c r="I15" i="4"/>
  <c r="I16" i="4"/>
  <c r="I17" i="4"/>
  <c r="G46" i="4"/>
  <c r="G47" i="4"/>
  <c r="G50" i="4"/>
  <c r="I11" i="4"/>
  <c r="I12" i="4"/>
  <c r="I10" i="4"/>
  <c r="I13" i="4"/>
  <c r="I22" i="4"/>
  <c r="I21" i="4"/>
  <c r="I20" i="4"/>
  <c r="E24" i="4"/>
  <c r="K52" i="4"/>
  <c r="G52" i="4" s="1"/>
  <c r="I34" i="4"/>
  <c r="I47" i="4"/>
  <c r="I42" i="4"/>
  <c r="G24" i="4"/>
  <c r="I44" i="4"/>
  <c r="I29" i="4"/>
  <c r="I41" i="4"/>
  <c r="I38" i="4"/>
  <c r="I36" i="4"/>
  <c r="I24" i="4"/>
  <c r="F11" i="40" l="1"/>
  <c r="G11" i="40" s="1"/>
  <c r="E52" i="4"/>
  <c r="E54" i="4" s="1"/>
  <c r="I28" i="4"/>
  <c r="G54" i="4"/>
  <c r="I49" i="30"/>
  <c r="K54" i="4"/>
  <c r="H21" i="1"/>
  <c r="H12" i="1"/>
  <c r="G23" i="1"/>
  <c r="I12" i="1"/>
  <c r="J49" i="30"/>
  <c r="E13" i="1"/>
  <c r="E18" i="1"/>
  <c r="E21" i="1"/>
  <c r="E22" i="1"/>
  <c r="F12" i="40" l="1"/>
  <c r="G12" i="40" s="1"/>
  <c r="I52" i="4"/>
  <c r="I54" i="4" s="1"/>
  <c r="H22" i="1"/>
  <c r="H23" i="1" s="1"/>
  <c r="H13" i="1"/>
  <c r="I22" i="1"/>
  <c r="I23" i="1" s="1"/>
  <c r="I13" i="1"/>
  <c r="E23" i="1"/>
  <c r="E24" i="1" s="1"/>
  <c r="F41" i="40" l="1"/>
  <c r="G41" i="40" s="1"/>
  <c r="F24" i="1"/>
  <c r="G24" i="1" s="1"/>
  <c r="H24" i="1" l="1"/>
  <c r="I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tc={E9783451-51FF-44AC-B9D6-4E48E8378F7E}</author>
    <author>tc={ECE35AC5-2435-4303-952D-89B168AC8DA7}</author>
  </authors>
  <commentList>
    <comment ref="D10" authorId="0" shapeId="0" xr:uid="{E9783451-51FF-44AC-B9D6-4E48E8378F7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Vocal coaching added at March meeting
</t>
      </text>
    </comment>
    <comment ref="D16" authorId="1" shapeId="0" xr:uid="{ECE35AC5-2435-4303-952D-89B168AC8DA7}">
      <text>
        <t>[Threaded comment]
Your version of Excel allows you to read this threaded comment; however, any edits to it will get removed if the file is opened in a newer version of Excel. Learn more: https://go.microsoft.com/fwlink/?linkid=870924
Comment:
    Accompanist added at March meeting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Slater</author>
  </authors>
  <commentList>
    <comment ref="R20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John Slater:</t>
        </r>
        <r>
          <rPr>
            <sz val="9"/>
            <color indexed="81"/>
            <rFont val="Tahoma"/>
            <family val="2"/>
          </rPr>
          <t xml:space="preserve">
PayPal
</t>
        </r>
      </text>
    </comment>
    <comment ref="S2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 xml:space="preserve">John S
</t>
        </r>
        <r>
          <rPr>
            <sz val="9"/>
            <color indexed="81"/>
            <rFont val="Tahoma"/>
            <family val="2"/>
          </rPr>
          <t xml:space="preserve"> ticket income(20.11)
</t>
        </r>
      </text>
    </comment>
    <comment ref="K30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John Slater:</t>
        </r>
        <r>
          <rPr>
            <sz val="9"/>
            <color indexed="81"/>
            <rFont val="Tahoma"/>
            <family val="2"/>
          </rPr>
          <t xml:space="preserve">
100-Ella;
200-RNCM (AF)</t>
        </r>
      </text>
    </comment>
    <comment ref="N46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John Slater:</t>
        </r>
        <r>
          <rPr>
            <sz val="9"/>
            <color indexed="81"/>
            <rFont val="Tahoma"/>
            <family val="2"/>
          </rPr>
          <t xml:space="preserve">
paid via StG ch</t>
        </r>
      </text>
    </comment>
    <comment ref="N48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John Slater:</t>
        </r>
        <r>
          <rPr>
            <sz val="9"/>
            <color indexed="81"/>
            <rFont val="Tahoma"/>
            <family val="2"/>
          </rPr>
          <t xml:space="preserve">
paid to Jenny (JS )
cash</t>
        </r>
      </text>
    </comment>
  </commentList>
</comments>
</file>

<file path=xl/sharedStrings.xml><?xml version="1.0" encoding="utf-8"?>
<sst xmlns="http://schemas.openxmlformats.org/spreadsheetml/2006/main" count="659" uniqueCount="211">
  <si>
    <t xml:space="preserve">St  George's Singers </t>
  </si>
  <si>
    <t>2019/20</t>
  </si>
  <si>
    <t>Full year</t>
  </si>
  <si>
    <t>Budget</t>
  </si>
  <si>
    <t>Concerts</t>
  </si>
  <si>
    <t xml:space="preserve">Subscriptions </t>
  </si>
  <si>
    <t>Friends</t>
  </si>
  <si>
    <t>100 Club</t>
  </si>
  <si>
    <t>Singing Day</t>
  </si>
  <si>
    <t>Teas</t>
  </si>
  <si>
    <t>Raffles</t>
  </si>
  <si>
    <t>Interest</t>
  </si>
  <si>
    <t>Gift Aid Rebate</t>
  </si>
  <si>
    <t>Self-Generated Funds</t>
  </si>
  <si>
    <t>Donations</t>
  </si>
  <si>
    <t>CD Sales</t>
  </si>
  <si>
    <t>Expenditure</t>
  </si>
  <si>
    <t>Fees MD</t>
  </si>
  <si>
    <t>Fees Accompanist</t>
  </si>
  <si>
    <t>Fees AMD</t>
  </si>
  <si>
    <t>St George's Hall Hire</t>
  </si>
  <si>
    <t>Thursday rehearsals</t>
  </si>
  <si>
    <t>NFMS Subs/Insurance</t>
  </si>
  <si>
    <t>Vocal coaching</t>
  </si>
  <si>
    <t>Repertoire music</t>
  </si>
  <si>
    <t>Piano tuning</t>
  </si>
  <si>
    <t>Seasons brochures</t>
  </si>
  <si>
    <t>Hemiola</t>
  </si>
  <si>
    <t>Stationery</t>
  </si>
  <si>
    <t>Programme covers</t>
  </si>
  <si>
    <t>Postage</t>
  </si>
  <si>
    <t>Depreciation</t>
  </si>
  <si>
    <t>Contingency</t>
  </si>
  <si>
    <t>Surplus/ (deficit)</t>
  </si>
  <si>
    <t xml:space="preserve">Actual </t>
  </si>
  <si>
    <t xml:space="preserve">Budget </t>
  </si>
  <si>
    <t>Variance</t>
  </si>
  <si>
    <t>Audience nos.</t>
  </si>
  <si>
    <t>Full</t>
  </si>
  <si>
    <t>Concession</t>
  </si>
  <si>
    <t>Student</t>
  </si>
  <si>
    <t>Ticket Prices</t>
  </si>
  <si>
    <t>Income</t>
  </si>
  <si>
    <t>Tickets</t>
  </si>
  <si>
    <t>Programmes</t>
  </si>
  <si>
    <t>Refreshments</t>
  </si>
  <si>
    <t>Totals</t>
  </si>
  <si>
    <t>MD</t>
  </si>
  <si>
    <t>Band/ orchestra</t>
  </si>
  <si>
    <t>Accompanist</t>
  </si>
  <si>
    <t>Vocal Soloists</t>
  </si>
  <si>
    <t>Organ hire</t>
  </si>
  <si>
    <t>Instrumentalists</t>
  </si>
  <si>
    <t>Hire charges</t>
  </si>
  <si>
    <t>Venue</t>
  </si>
  <si>
    <t>Music-choir</t>
  </si>
  <si>
    <t>Music-band</t>
  </si>
  <si>
    <t>Lighting/staging</t>
  </si>
  <si>
    <t>Marketing</t>
  </si>
  <si>
    <t>Leaflets</t>
  </si>
  <si>
    <t>Programme inners</t>
  </si>
  <si>
    <t>Large Poster/ image</t>
  </si>
  <si>
    <t>Other costs</t>
  </si>
  <si>
    <t xml:space="preserve"> </t>
  </si>
  <si>
    <t>Flowers</t>
  </si>
  <si>
    <t>PRS fee</t>
  </si>
  <si>
    <t xml:space="preserve">  </t>
  </si>
  <si>
    <t>Total Expenditure</t>
  </si>
  <si>
    <t>Autumn</t>
  </si>
  <si>
    <t>Spring</t>
  </si>
  <si>
    <t>Summer</t>
  </si>
  <si>
    <t>Profit/ (loss)</t>
  </si>
  <si>
    <t>Income &amp; Expenditure  Account - 2013/14</t>
  </si>
  <si>
    <t>2013/14</t>
  </si>
  <si>
    <t>Workings</t>
  </si>
  <si>
    <t xml:space="preserve">                       Notes</t>
  </si>
  <si>
    <t>Detail</t>
  </si>
  <si>
    <t>Van hire</t>
  </si>
  <si>
    <t>Lighting</t>
  </si>
  <si>
    <t>RNCM</t>
  </si>
  <si>
    <t>Audience</t>
  </si>
  <si>
    <t>Gorton</t>
  </si>
  <si>
    <t>Total income</t>
  </si>
  <si>
    <t xml:space="preserve">Five year plan </t>
  </si>
  <si>
    <t>Income &amp; Expenditure  Account</t>
  </si>
  <si>
    <t>Reserves</t>
  </si>
  <si>
    <t>Combined</t>
  </si>
  <si>
    <t>2020/21</t>
  </si>
  <si>
    <t>2021/22</t>
  </si>
  <si>
    <t>2022/23</t>
  </si>
  <si>
    <t>2023/24</t>
  </si>
  <si>
    <t>2018/19</t>
  </si>
  <si>
    <t>Actual</t>
  </si>
  <si>
    <t>Forecast</t>
  </si>
  <si>
    <t>Total expenditure</t>
  </si>
  <si>
    <t>Assumptions</t>
  </si>
  <si>
    <t>Summary</t>
  </si>
  <si>
    <t>Members</t>
  </si>
  <si>
    <t>Subs</t>
  </si>
  <si>
    <t>Full price</t>
  </si>
  <si>
    <t>Total</t>
  </si>
  <si>
    <t>Total audience numbers</t>
  </si>
  <si>
    <t>Other income</t>
  </si>
  <si>
    <t>Gift Aiding members</t>
  </si>
  <si>
    <t>Number of rehearsals</t>
  </si>
  <si>
    <t>Assistant MD fees</t>
  </si>
  <si>
    <t>Rehearsal venue cost</t>
  </si>
  <si>
    <t>Thursday rehearsal cost</t>
  </si>
  <si>
    <t>Hours of auditions</t>
  </si>
  <si>
    <t>MD fees: rehearsals</t>
  </si>
  <si>
    <t>MD fees: auditions/hour</t>
  </si>
  <si>
    <t>MD fees: chorus mastering</t>
  </si>
  <si>
    <t>Number of chorus master duties</t>
  </si>
  <si>
    <t>AMD rehearsals</t>
  </si>
  <si>
    <t>Friends' reception &amp; costs</t>
  </si>
  <si>
    <t>Concession A</t>
  </si>
  <si>
    <t>Concession B</t>
  </si>
  <si>
    <t>Concession C</t>
  </si>
  <si>
    <t>Professional fees</t>
  </si>
  <si>
    <t>Posters and leaflets</t>
  </si>
  <si>
    <t>Other</t>
  </si>
  <si>
    <t>Surplus/deficit</t>
  </si>
  <si>
    <t>SD participants</t>
  </si>
  <si>
    <t>SD audience</t>
  </si>
  <si>
    <t>SD fees</t>
  </si>
  <si>
    <t>SD audience ticket price</t>
  </si>
  <si>
    <t>Participant</t>
  </si>
  <si>
    <t>MD fees: singing day</t>
  </si>
  <si>
    <t>Accompanist fees rehearsals</t>
  </si>
  <si>
    <t>Accompanist fees: singing day</t>
  </si>
  <si>
    <t>Christmas</t>
  </si>
  <si>
    <t>MD fees: concert</t>
  </si>
  <si>
    <t>Accompanist fees: concert</t>
  </si>
  <si>
    <t>Poynton</t>
  </si>
  <si>
    <t>Mahler 2</t>
  </si>
  <si>
    <t>Mahler 8</t>
  </si>
  <si>
    <t>General</t>
  </si>
  <si>
    <t>Stockport</t>
  </si>
  <si>
    <t>Bramhall</t>
  </si>
  <si>
    <t>Less: commission</t>
  </si>
  <si>
    <t>Full ticket price (excl Christmas)</t>
  </si>
  <si>
    <t>Concession ticket price (excl Christmas)</t>
  </si>
  <si>
    <t>Student ticket price (excl Christmas)</t>
  </si>
  <si>
    <t>Coach/contingency</t>
  </si>
  <si>
    <t>Coach (net)/contingency</t>
  </si>
  <si>
    <t>Macclesfield</t>
  </si>
  <si>
    <t>St Georges Stockport fees</t>
  </si>
  <si>
    <t>St Michaels/St Albans fees</t>
  </si>
  <si>
    <t>RNCM fees</t>
  </si>
  <si>
    <t>Stockport town hall fees</t>
  </si>
  <si>
    <t>Gorton monastery fees</t>
  </si>
  <si>
    <t>Stoller hall fees</t>
  </si>
  <si>
    <t>Summer: coach to Slaithwaite</t>
  </si>
  <si>
    <t>JS confirmed Ben Ellin to source soloist at £600 for Summer</t>
  </si>
  <si>
    <t>Non-concert</t>
  </si>
  <si>
    <t>Loan of Music</t>
  </si>
  <si>
    <t>Cheshire consort</t>
  </si>
  <si>
    <t>GP email 091221</t>
  </si>
  <si>
    <t>Breakeven</t>
  </si>
  <si>
    <t>94 participants with £200 from audience and £650 from refreshments</t>
  </si>
  <si>
    <t>132 participants with no other income</t>
  </si>
  <si>
    <t>Autumn £500 violin, £300 organ; Harmonium player Spring</t>
  </si>
  <si>
    <t>Large concert full price</t>
  </si>
  <si>
    <t>53 seater £765 to Huddersfield and back and the choir to contribute £12 each per head</t>
  </si>
  <si>
    <t>Harmonium Spring now £500 plus £150 for moving the piano from Poynton</t>
  </si>
  <si>
    <t>Graham South or Big Buzzard (Andy Williamson)</t>
  </si>
  <si>
    <t>£375 per Susan; upped slightly</t>
  </si>
  <si>
    <t>Use the Poynton PCC money to offset any coach costs; £200 for Gorton</t>
  </si>
  <si>
    <t>Jean additional publicity</t>
  </si>
  <si>
    <t>Full score needed for Ellington - uplifted May; per GP £85 for March concert</t>
  </si>
  <si>
    <t>Summer venue changed to stoller</t>
  </si>
  <si>
    <t>Amended Summer soloist per PG 101022</t>
  </si>
  <si>
    <t>Previous forecast</t>
  </si>
  <si>
    <t>Latest forecast</t>
  </si>
  <si>
    <t>Narrative</t>
  </si>
  <si>
    <t>Other non-concert income</t>
  </si>
  <si>
    <t>Non concert income</t>
  </si>
  <si>
    <t>Venue costs</t>
  </si>
  <si>
    <t>Other non-concert expenditure</t>
  </si>
  <si>
    <t>Non-concert expenditure</t>
  </si>
  <si>
    <t>Net</t>
  </si>
  <si>
    <t>Autumn concert</t>
  </si>
  <si>
    <t>Christmas concert</t>
  </si>
  <si>
    <t>Spring concert</t>
  </si>
  <si>
    <t>Summer concert</t>
  </si>
  <si>
    <t>Total non-concert</t>
  </si>
  <si>
    <t>Subs &amp; Gift Aid</t>
  </si>
  <si>
    <t xml:space="preserve">Variance </t>
  </si>
  <si>
    <t>Spent to date:</t>
  </si>
  <si>
    <t>Inside Magazines</t>
  </si>
  <si>
    <t>November Fineprint</t>
  </si>
  <si>
    <t>December Fineprint</t>
  </si>
  <si>
    <t>Singing Day Fineprint</t>
  </si>
  <si>
    <t>Singing Day arrow</t>
  </si>
  <si>
    <t>March concert</t>
  </si>
  <si>
    <t>June concert</t>
  </si>
  <si>
    <t>Remaining budget</t>
  </si>
  <si>
    <t>Cathedral</t>
  </si>
  <si>
    <t>HN</t>
  </si>
  <si>
    <t>Van</t>
  </si>
  <si>
    <t>Upped per JB booklet cost; £440 for 190, reduced to £400 for 150 copies</t>
  </si>
  <si>
    <t>Stoller</t>
  </si>
  <si>
    <t>Round Table donation</t>
  </si>
  <si>
    <t>CURRENT SEASON</t>
  </si>
  <si>
    <t>Coach is £425, contributions from Friends will be c. £300.  £125 from Poynton RT.</t>
  </si>
  <si>
    <t>NT email 200723</t>
  </si>
  <si>
    <t>Guestimate for organ hire</t>
  </si>
  <si>
    <t>Total concert/events</t>
  </si>
  <si>
    <t>EDO/contribution to screening</t>
  </si>
  <si>
    <t>Insurance, MM fees</t>
  </si>
  <si>
    <t>Higher ticket sales, better mix &amp; additional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</si>
</sst>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\(#,##0\)"/>
    <numFmt numFmtId="165" formatCode="#,##0_);\(#,##0\)"/>
    <numFmt numFmtId="166" formatCode="#,##0.00_);\(#,##0.00\)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164" fontId="0" fillId="0" borderId="0" xfId="0" applyNumberFormat="1"/>
    <xf numFmtId="0" fontId="0" fillId="0" borderId="2" xfId="0" applyBorder="1"/>
    <xf numFmtId="164" fontId="0" fillId="0" borderId="3" xfId="0" applyNumberFormat="1" applyBorder="1"/>
    <xf numFmtId="0" fontId="0" fillId="0" borderId="7" xfId="0" applyBorder="1"/>
    <xf numFmtId="164" fontId="0" fillId="0" borderId="8" xfId="0" applyNumberFormat="1" applyBorder="1"/>
    <xf numFmtId="0" fontId="3" fillId="0" borderId="0" xfId="0" applyFont="1"/>
    <xf numFmtId="164" fontId="3" fillId="0" borderId="0" xfId="0" applyNumberFormat="1" applyFont="1"/>
    <xf numFmtId="164" fontId="0" fillId="0" borderId="1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3" fillId="0" borderId="15" xfId="0" applyNumberFormat="1" applyFont="1" applyBorder="1"/>
    <xf numFmtId="164" fontId="0" fillId="0" borderId="15" xfId="0" applyNumberForma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2" fontId="0" fillId="0" borderId="0" xfId="0" applyNumberFormat="1"/>
    <xf numFmtId="0" fontId="0" fillId="0" borderId="11" xfId="0" applyBorder="1"/>
    <xf numFmtId="15" fontId="0" fillId="0" borderId="0" xfId="0" applyNumberFormat="1"/>
    <xf numFmtId="15" fontId="6" fillId="0" borderId="0" xfId="0" applyNumberFormat="1" applyFont="1"/>
    <xf numFmtId="0" fontId="9" fillId="0" borderId="9" xfId="0" applyFont="1" applyBorder="1"/>
    <xf numFmtId="0" fontId="10" fillId="0" borderId="10" xfId="0" applyFont="1" applyBorder="1"/>
    <xf numFmtId="4" fontId="0" fillId="0" borderId="0" xfId="0" applyNumberFormat="1"/>
    <xf numFmtId="1" fontId="3" fillId="0" borderId="0" xfId="0" applyNumberFormat="1" applyFont="1"/>
    <xf numFmtId="0" fontId="11" fillId="0" borderId="0" xfId="0" applyFont="1"/>
    <xf numFmtId="0" fontId="0" fillId="0" borderId="1" xfId="0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0" fontId="0" fillId="2" borderId="0" xfId="0" applyFill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5" fillId="2" borderId="0" xfId="0" applyFont="1" applyFill="1"/>
    <xf numFmtId="0" fontId="0" fillId="2" borderId="20" xfId="0" applyFill="1" applyBorder="1"/>
    <xf numFmtId="0" fontId="3" fillId="2" borderId="0" xfId="0" applyFont="1" applyFill="1"/>
    <xf numFmtId="0" fontId="3" fillId="2" borderId="19" xfId="0" applyFont="1" applyFill="1" applyBorder="1"/>
    <xf numFmtId="0" fontId="3" fillId="2" borderId="0" xfId="0" applyFont="1" applyFill="1" applyAlignment="1">
      <alignment horizontal="center"/>
    </xf>
    <xf numFmtId="0" fontId="3" fillId="2" borderId="20" xfId="0" applyFont="1" applyFill="1" applyBorder="1"/>
    <xf numFmtId="0" fontId="6" fillId="2" borderId="0" xfId="0" applyFont="1" applyFill="1"/>
    <xf numFmtId="164" fontId="0" fillId="2" borderId="0" xfId="0" applyNumberFormat="1" applyFill="1"/>
    <xf numFmtId="165" fontId="0" fillId="2" borderId="0" xfId="0" applyNumberFormat="1" applyFill="1"/>
    <xf numFmtId="165" fontId="3" fillId="2" borderId="0" xfId="0" applyNumberFormat="1" applyFont="1" applyFill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9" fontId="0" fillId="2" borderId="0" xfId="2" applyFont="1" applyFill="1" applyBorder="1"/>
    <xf numFmtId="9" fontId="0" fillId="2" borderId="0" xfId="2" applyFont="1" applyFill="1" applyBorder="1" applyAlignment="1">
      <alignment horizontal="right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0" fontId="13" fillId="2" borderId="0" xfId="0" applyFont="1" applyFill="1"/>
    <xf numFmtId="0" fontId="11" fillId="2" borderId="0" xfId="0" applyFont="1" applyFill="1"/>
    <xf numFmtId="0" fontId="11" fillId="2" borderId="19" xfId="0" applyFont="1" applyFill="1" applyBorder="1"/>
    <xf numFmtId="165" fontId="11" fillId="2" borderId="0" xfId="0" applyNumberFormat="1" applyFont="1" applyFill="1"/>
    <xf numFmtId="0" fontId="11" fillId="2" borderId="20" xfId="0" applyFont="1" applyFill="1" applyBorder="1"/>
    <xf numFmtId="165" fontId="0" fillId="0" borderId="0" xfId="0" applyNumberFormat="1" applyAlignment="1">
      <alignment horizontal="right"/>
    </xf>
    <xf numFmtId="165" fontId="0" fillId="0" borderId="0" xfId="0" applyNumberFormat="1"/>
    <xf numFmtId="166" fontId="0" fillId="2" borderId="0" xfId="0" applyNumberFormat="1" applyFill="1"/>
    <xf numFmtId="165" fontId="3" fillId="0" borderId="0" xfId="0" applyNumberFormat="1" applyFont="1"/>
    <xf numFmtId="165" fontId="14" fillId="2" borderId="0" xfId="0" applyNumberFormat="1" applyFont="1" applyFill="1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0" fillId="0" borderId="0" xfId="0" applyAlignment="1">
      <alignment horizontal="center"/>
    </xf>
  </cellXfs>
  <cellStyles count="3">
    <cellStyle name="Comma 2" xfId="1" xr:uid="{00000000-0005-0000-0000-000001000000}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ura%20Mummery\Documents\Personal\SGS\2324\March%20full%20year%20forecast.xlsx" TargetMode="External"/><Relationship Id="rId1" Type="http://schemas.openxmlformats.org/officeDocument/2006/relationships/externalLinkPath" Target="March%20full%20year%20forecas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ura%20Mummery\Documents\Personal\SGS\2223\May.xlsx" TargetMode="External"/><Relationship Id="rId1" Type="http://schemas.openxmlformats.org/officeDocument/2006/relationships/externalLinkPath" Target="/Users/Laura%20Mummery/Documents/Personal/SGS/2223/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Management accounts"/>
      <sheetName val="Assumptions"/>
      <sheetName val="Non concert"/>
      <sheetName val="SD summary"/>
      <sheetName val="Concert summary"/>
      <sheetName val="1819 concert"/>
      <sheetName val="1920 concert"/>
      <sheetName val="2021 concert"/>
      <sheetName val="2122 concert"/>
      <sheetName val="2223 concert"/>
      <sheetName val="2324 concert"/>
      <sheetName val="Blank"/>
    </sheetNames>
    <sheetDataSet>
      <sheetData sheetId="0" refreshError="1"/>
      <sheetData sheetId="1">
        <row r="4">
          <cell r="F4">
            <v>22271</v>
          </cell>
        </row>
        <row r="5">
          <cell r="F5">
            <v>2944</v>
          </cell>
        </row>
        <row r="8">
          <cell r="F8">
            <v>14014</v>
          </cell>
        </row>
        <row r="9">
          <cell r="F9">
            <v>2598.4124999999999</v>
          </cell>
        </row>
        <row r="10">
          <cell r="F10">
            <v>2935.9999999999986</v>
          </cell>
        </row>
        <row r="15">
          <cell r="F15">
            <v>2518.8000000000002</v>
          </cell>
        </row>
        <row r="16">
          <cell r="F16">
            <v>3179.1224999999999</v>
          </cell>
        </row>
        <row r="20">
          <cell r="F20">
            <v>3913</v>
          </cell>
        </row>
        <row r="21">
          <cell r="F21">
            <v>2728.4949999999999</v>
          </cell>
        </row>
        <row r="25">
          <cell r="F25">
            <v>2642.1</v>
          </cell>
        </row>
        <row r="26">
          <cell r="F26">
            <v>2148.61</v>
          </cell>
        </row>
        <row r="30">
          <cell r="F30">
            <v>2305</v>
          </cell>
        </row>
        <row r="31">
          <cell r="F31">
            <v>5797.4949999999999</v>
          </cell>
        </row>
        <row r="35">
          <cell r="F35">
            <v>7210</v>
          </cell>
        </row>
        <row r="36">
          <cell r="F36">
            <v>8746.1224999999995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Management accounts"/>
      <sheetName val="Assumptions"/>
      <sheetName val="Non concert"/>
      <sheetName val="SD summary"/>
      <sheetName val="Concert summary"/>
      <sheetName val="1819 concert"/>
      <sheetName val="1920 concert"/>
      <sheetName val="2021 concert"/>
      <sheetName val="2122 concert"/>
      <sheetName val="2223 concert"/>
      <sheetName val="2324 concert"/>
      <sheetName val="Blank"/>
    </sheetNames>
    <sheetDataSet>
      <sheetData sheetId="0"/>
      <sheetData sheetId="1"/>
      <sheetData sheetId="2">
        <row r="40">
          <cell r="J40">
            <v>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auraMummery1000@gmail.com" id="{98CC6736-4018-4E7A-A9EF-C6F0D789AFC4}" userId="7683da566990b938" providerId="Windows Live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0" dT="2023-05-08T08:09:36.59" personId="{98CC6736-4018-4E7A-A9EF-C6F0D789AFC4}" id="{E9783451-51FF-44AC-B9D6-4E48E8378F7E}">
    <text xml:space="preserve">Vocal coaching added at March meeting
</text>
  </threadedComment>
  <threadedComment ref="D16" dT="2023-05-08T08:10:14.23" personId="{98CC6736-4018-4E7A-A9EF-C6F0D789AFC4}" id="{ECE35AC5-2435-4303-952D-89B168AC8DA7}">
    <text>Accompanist added at March meeting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workbookViewId="0">
      <selection activeCell="I24" sqref="I24"/>
    </sheetView>
  </sheetViews>
  <sheetFormatPr defaultColWidth="8.7109375" defaultRowHeight="15" x14ac:dyDescent="0.25"/>
  <cols>
    <col min="1" max="2" width="1.5703125" customWidth="1"/>
    <col min="3" max="3" width="16.7109375" customWidth="1"/>
    <col min="4" max="4" width="1.5703125" customWidth="1"/>
    <col min="5" max="9" width="10.5703125" customWidth="1"/>
    <col min="10" max="11" width="1.5703125" customWidth="1"/>
    <col min="12" max="12" width="12" customWidth="1"/>
  </cols>
  <sheetData>
    <row r="1" spans="1:12" ht="5.0999999999999996" customHeight="1" thickBot="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5.0999999999999996" customHeight="1" x14ac:dyDescent="0.25">
      <c r="A2" s="42"/>
      <c r="B2" s="43"/>
      <c r="C2" s="44"/>
      <c r="D2" s="44"/>
      <c r="E2" s="44"/>
      <c r="F2" s="44"/>
      <c r="G2" s="44"/>
      <c r="H2" s="44"/>
      <c r="I2" s="44"/>
      <c r="J2" s="45"/>
      <c r="K2" s="42"/>
    </row>
    <row r="3" spans="1:12" ht="18.75" x14ac:dyDescent="0.3">
      <c r="A3" s="42"/>
      <c r="B3" s="46"/>
      <c r="C3" s="47" t="s">
        <v>0</v>
      </c>
      <c r="D3" s="42"/>
      <c r="E3" s="42"/>
      <c r="F3" s="42"/>
      <c r="G3" s="42"/>
      <c r="H3" s="42"/>
      <c r="I3" s="42"/>
      <c r="J3" s="48"/>
      <c r="K3" s="42"/>
    </row>
    <row r="4" spans="1:12" ht="18.75" x14ac:dyDescent="0.3">
      <c r="A4" s="42"/>
      <c r="B4" s="46"/>
      <c r="C4" s="47" t="s">
        <v>83</v>
      </c>
      <c r="D4" s="42"/>
      <c r="E4" s="42"/>
      <c r="F4" s="42"/>
      <c r="G4" s="42"/>
      <c r="H4" s="42"/>
      <c r="I4" s="42"/>
      <c r="J4" s="48"/>
      <c r="K4" s="42"/>
    </row>
    <row r="5" spans="1:12" ht="18.75" x14ac:dyDescent="0.3">
      <c r="A5" s="42"/>
      <c r="B5" s="46"/>
      <c r="C5" s="47" t="s">
        <v>96</v>
      </c>
      <c r="D5" s="42"/>
      <c r="E5" s="42"/>
      <c r="F5" s="42"/>
      <c r="G5" s="42"/>
      <c r="H5" s="42"/>
      <c r="I5" s="42"/>
      <c r="J5" s="48"/>
      <c r="K5" s="42"/>
    </row>
    <row r="6" spans="1:12" ht="5.0999999999999996" customHeight="1" x14ac:dyDescent="0.25">
      <c r="A6" s="42"/>
      <c r="B6" s="46"/>
      <c r="C6" s="42"/>
      <c r="D6" s="42"/>
      <c r="E6" s="42"/>
      <c r="F6" s="42"/>
      <c r="G6" s="42"/>
      <c r="H6" s="42"/>
      <c r="I6" s="42"/>
      <c r="J6" s="48"/>
      <c r="K6" s="42"/>
    </row>
    <row r="7" spans="1:12" s="7" customFormat="1" ht="14.45" customHeight="1" x14ac:dyDescent="0.3">
      <c r="A7" s="49"/>
      <c r="B7" s="50"/>
      <c r="C7" s="47"/>
      <c r="D7" s="49"/>
      <c r="E7" s="51" t="s">
        <v>1</v>
      </c>
      <c r="F7" s="51" t="s">
        <v>87</v>
      </c>
      <c r="G7" s="51" t="s">
        <v>88</v>
      </c>
      <c r="H7" s="51" t="s">
        <v>89</v>
      </c>
      <c r="I7" s="51" t="s">
        <v>90</v>
      </c>
      <c r="J7" s="52"/>
      <c r="K7" s="49"/>
    </row>
    <row r="8" spans="1:12" s="7" customFormat="1" ht="14.45" customHeight="1" x14ac:dyDescent="0.3">
      <c r="A8" s="49"/>
      <c r="B8" s="50"/>
      <c r="C8" s="47"/>
      <c r="D8" s="49"/>
      <c r="E8" s="51" t="s">
        <v>93</v>
      </c>
      <c r="F8" s="51" t="s">
        <v>93</v>
      </c>
      <c r="G8" s="51" t="s">
        <v>93</v>
      </c>
      <c r="H8" s="51" t="s">
        <v>93</v>
      </c>
      <c r="I8" s="51" t="s">
        <v>93</v>
      </c>
      <c r="J8" s="52"/>
      <c r="K8" s="49"/>
    </row>
    <row r="9" spans="1:12" ht="5.0999999999999996" customHeight="1" x14ac:dyDescent="0.25">
      <c r="A9" s="42"/>
      <c r="B9" s="46"/>
      <c r="C9" s="42"/>
      <c r="D9" s="42"/>
      <c r="E9" s="42"/>
      <c r="F9" s="42"/>
      <c r="G9" s="42"/>
      <c r="H9" s="42"/>
      <c r="I9" s="42"/>
      <c r="J9" s="48"/>
      <c r="K9" s="42"/>
    </row>
    <row r="10" spans="1:12" ht="15.75" x14ac:dyDescent="0.25">
      <c r="A10" s="42"/>
      <c r="B10" s="46"/>
      <c r="C10" s="53" t="s">
        <v>154</v>
      </c>
      <c r="D10" s="42"/>
      <c r="E10" s="54"/>
      <c r="F10" s="42"/>
      <c r="G10" s="42"/>
      <c r="H10" s="42"/>
      <c r="I10" s="42"/>
      <c r="J10" s="48"/>
      <c r="K10" s="42"/>
    </row>
    <row r="11" spans="1:12" x14ac:dyDescent="0.25">
      <c r="A11" s="42"/>
      <c r="B11" s="46"/>
      <c r="C11" s="42" t="s">
        <v>42</v>
      </c>
      <c r="D11" s="42"/>
      <c r="E11" s="55">
        <v>24797</v>
      </c>
      <c r="F11" s="55">
        <f>'Non concert'!G24</f>
        <v>20479</v>
      </c>
      <c r="G11" s="55">
        <f>'Non concert'!H24</f>
        <v>22048</v>
      </c>
      <c r="H11" s="55">
        <f>'Non concert'!I24</f>
        <v>22765.119999999999</v>
      </c>
      <c r="I11" s="55">
        <f>'Non concert'!J24</f>
        <v>25265</v>
      </c>
      <c r="J11" s="48"/>
      <c r="K11" s="42"/>
      <c r="L11" s="73"/>
    </row>
    <row r="12" spans="1:12" x14ac:dyDescent="0.25">
      <c r="A12" s="42"/>
      <c r="B12" s="46"/>
      <c r="C12" s="42" t="s">
        <v>16</v>
      </c>
      <c r="D12" s="42"/>
      <c r="E12" s="55">
        <v>20526</v>
      </c>
      <c r="F12" s="55">
        <f>'Non concert'!G47</f>
        <v>11633</v>
      </c>
      <c r="G12" s="55">
        <f>'Non concert'!H47</f>
        <v>15889</v>
      </c>
      <c r="H12" s="55">
        <f>'Non concert'!I47</f>
        <v>17555</v>
      </c>
      <c r="I12" s="55">
        <f>'Non concert'!J47</f>
        <v>19472.162499999999</v>
      </c>
      <c r="J12" s="48"/>
      <c r="K12" s="42"/>
      <c r="L12" s="73"/>
    </row>
    <row r="13" spans="1:12" x14ac:dyDescent="0.25">
      <c r="A13" s="42"/>
      <c r="B13" s="46"/>
      <c r="C13" s="42" t="s">
        <v>33</v>
      </c>
      <c r="D13" s="42"/>
      <c r="E13" s="56">
        <f>E11-E12</f>
        <v>4271</v>
      </c>
      <c r="F13" s="56">
        <f>F11-F12</f>
        <v>8846</v>
      </c>
      <c r="G13" s="56">
        <f>G11-G12</f>
        <v>6159</v>
      </c>
      <c r="H13" s="56">
        <f>H11-H12</f>
        <v>5210.119999999999</v>
      </c>
      <c r="I13" s="56">
        <f>I11-I12</f>
        <v>5792.8375000000015</v>
      </c>
      <c r="J13" s="48"/>
      <c r="K13" s="42"/>
      <c r="L13" s="73"/>
    </row>
    <row r="14" spans="1:12" ht="5.0999999999999996" customHeight="1" x14ac:dyDescent="0.25">
      <c r="A14" s="42"/>
      <c r="B14" s="46"/>
      <c r="C14" s="42"/>
      <c r="D14" s="42"/>
      <c r="E14" s="55"/>
      <c r="F14" s="55"/>
      <c r="G14" s="55"/>
      <c r="H14" s="55"/>
      <c r="I14" s="55"/>
      <c r="J14" s="48"/>
      <c r="K14" s="42"/>
      <c r="L14" s="73"/>
    </row>
    <row r="15" spans="1:12" ht="15.75" x14ac:dyDescent="0.25">
      <c r="A15" s="42"/>
      <c r="B15" s="46"/>
      <c r="C15" s="53" t="s">
        <v>4</v>
      </c>
      <c r="D15" s="42"/>
      <c r="E15" s="55"/>
      <c r="F15" s="55"/>
      <c r="G15" s="55"/>
      <c r="H15" s="55"/>
      <c r="I15" s="55"/>
      <c r="J15" s="48"/>
      <c r="K15" s="42"/>
      <c r="L15" s="73"/>
    </row>
    <row r="16" spans="1:12" x14ac:dyDescent="0.25">
      <c r="A16" s="42"/>
      <c r="B16" s="46"/>
      <c r="C16" s="42" t="s">
        <v>42</v>
      </c>
      <c r="D16" s="42"/>
      <c r="E16" s="55">
        <v>12729</v>
      </c>
      <c r="F16" s="55">
        <f>'Concert summary'!G21+'SD summary'!G16</f>
        <v>0</v>
      </c>
      <c r="G16" s="55">
        <f>'Concert summary'!H21+'SD summary'!H16</f>
        <v>11779.1</v>
      </c>
      <c r="H16" s="55">
        <f>'Concert summary'!I21+'SD summary'!I16</f>
        <v>15420.02</v>
      </c>
      <c r="I16" s="55">
        <f>'Concert summary'!J21+'SD summary'!J16</f>
        <v>19490.899999999998</v>
      </c>
      <c r="J16" s="48"/>
      <c r="K16" s="42"/>
      <c r="L16" s="73"/>
    </row>
    <row r="17" spans="1:12" x14ac:dyDescent="0.25">
      <c r="A17" s="42"/>
      <c r="B17" s="46"/>
      <c r="C17" s="42" t="s">
        <v>16</v>
      </c>
      <c r="D17" s="42"/>
      <c r="E17" s="55">
        <v>14196</v>
      </c>
      <c r="F17" s="55">
        <f>'Concert summary'!G48+'SD summary'!G36</f>
        <v>4278.96</v>
      </c>
      <c r="G17" s="55">
        <f>'Concert summary'!H48+'SD summary'!H36</f>
        <v>22954</v>
      </c>
      <c r="H17" s="55">
        <f>'Concert summary'!I48+'SD summary'!I36</f>
        <v>20484.13</v>
      </c>
      <c r="I17" s="55">
        <f>'Concert summary'!J48+'SD summary'!J36</f>
        <v>23210.345000000001</v>
      </c>
      <c r="J17" s="48"/>
      <c r="K17" s="42"/>
      <c r="L17" s="73"/>
    </row>
    <row r="18" spans="1:12" x14ac:dyDescent="0.25">
      <c r="A18" s="42"/>
      <c r="B18" s="46"/>
      <c r="C18" s="42" t="s">
        <v>33</v>
      </c>
      <c r="D18" s="42"/>
      <c r="E18" s="56">
        <f>E16-E17</f>
        <v>-1467</v>
      </c>
      <c r="F18" s="56">
        <f>F16-F17</f>
        <v>-4278.96</v>
      </c>
      <c r="G18" s="56">
        <f>G16-G17</f>
        <v>-11174.9</v>
      </c>
      <c r="H18" s="56">
        <f>H16-H17</f>
        <v>-5064.1100000000006</v>
      </c>
      <c r="I18" s="56">
        <f>I16-I17</f>
        <v>-3719.4450000000033</v>
      </c>
      <c r="J18" s="48"/>
      <c r="K18" s="42"/>
      <c r="L18" s="73"/>
    </row>
    <row r="19" spans="1:12" ht="5.0999999999999996" customHeight="1" x14ac:dyDescent="0.25">
      <c r="A19" s="42"/>
      <c r="B19" s="46"/>
      <c r="C19" s="42"/>
      <c r="D19" s="42"/>
      <c r="E19" s="55"/>
      <c r="F19" s="55"/>
      <c r="G19" s="55"/>
      <c r="H19" s="55"/>
      <c r="I19" s="55"/>
      <c r="J19" s="48"/>
      <c r="K19" s="42"/>
      <c r="L19" s="73"/>
    </row>
    <row r="20" spans="1:12" ht="15.75" x14ac:dyDescent="0.25">
      <c r="A20" s="42"/>
      <c r="B20" s="46"/>
      <c r="C20" s="53" t="s">
        <v>86</v>
      </c>
      <c r="D20" s="42"/>
      <c r="E20" s="55"/>
      <c r="F20" s="55"/>
      <c r="G20" s="55"/>
      <c r="H20" s="55"/>
      <c r="I20" s="55"/>
      <c r="J20" s="48"/>
      <c r="K20" s="42"/>
      <c r="L20" s="73"/>
    </row>
    <row r="21" spans="1:12" x14ac:dyDescent="0.25">
      <c r="A21" s="42"/>
      <c r="B21" s="46"/>
      <c r="C21" s="42" t="s">
        <v>42</v>
      </c>
      <c r="D21" s="42"/>
      <c r="E21" s="55">
        <f t="shared" ref="E21:I22" si="0">E11+E16</f>
        <v>37526</v>
      </c>
      <c r="F21" s="55">
        <f t="shared" si="0"/>
        <v>20479</v>
      </c>
      <c r="G21" s="55">
        <f t="shared" si="0"/>
        <v>33827.1</v>
      </c>
      <c r="H21" s="55">
        <f t="shared" si="0"/>
        <v>38185.14</v>
      </c>
      <c r="I21" s="55">
        <f t="shared" si="0"/>
        <v>44755.899999999994</v>
      </c>
      <c r="J21" s="48"/>
      <c r="K21" s="42"/>
      <c r="L21" s="73"/>
    </row>
    <row r="22" spans="1:12" x14ac:dyDescent="0.25">
      <c r="A22" s="42"/>
      <c r="B22" s="46"/>
      <c r="C22" s="42" t="s">
        <v>16</v>
      </c>
      <c r="D22" s="42"/>
      <c r="E22" s="55">
        <f t="shared" si="0"/>
        <v>34722</v>
      </c>
      <c r="F22" s="55">
        <f t="shared" si="0"/>
        <v>15911.96</v>
      </c>
      <c r="G22" s="55">
        <f t="shared" si="0"/>
        <v>38843</v>
      </c>
      <c r="H22" s="55">
        <f t="shared" si="0"/>
        <v>38039.130000000005</v>
      </c>
      <c r="I22" s="55">
        <f t="shared" si="0"/>
        <v>42682.5075</v>
      </c>
      <c r="J22" s="48"/>
      <c r="K22" s="42"/>
      <c r="L22" s="73"/>
    </row>
    <row r="23" spans="1:12" s="7" customFormat="1" x14ac:dyDescent="0.25">
      <c r="A23" s="49"/>
      <c r="B23" s="50"/>
      <c r="C23" s="49" t="s">
        <v>33</v>
      </c>
      <c r="D23" s="49"/>
      <c r="E23" s="56">
        <f>E21-E22</f>
        <v>2804</v>
      </c>
      <c r="F23" s="56">
        <f>F21-F22</f>
        <v>4567.0400000000009</v>
      </c>
      <c r="G23" s="56">
        <f>G21-G22</f>
        <v>-5015.9000000000015</v>
      </c>
      <c r="H23" s="56">
        <f>H21-H22</f>
        <v>146.00999999999476</v>
      </c>
      <c r="I23" s="56">
        <f>I21-I22</f>
        <v>2073.3924999999945</v>
      </c>
      <c r="J23" s="52"/>
      <c r="K23" s="49"/>
      <c r="L23" s="73"/>
    </row>
    <row r="24" spans="1:12" s="7" customFormat="1" x14ac:dyDescent="0.25">
      <c r="A24" s="49"/>
      <c r="B24" s="50"/>
      <c r="C24" s="49" t="s">
        <v>85</v>
      </c>
      <c r="D24" s="49"/>
      <c r="E24" s="56">
        <f>E23+18803</f>
        <v>21607</v>
      </c>
      <c r="F24" s="56">
        <f>E24+F23</f>
        <v>26174.04</v>
      </c>
      <c r="G24" s="56">
        <f>F24+G23</f>
        <v>21158.14</v>
      </c>
      <c r="H24" s="56">
        <f>G24+H23</f>
        <v>21304.149999999994</v>
      </c>
      <c r="I24" s="56">
        <f>H24+I23</f>
        <v>23377.542499999989</v>
      </c>
      <c r="J24" s="52"/>
      <c r="K24" s="49"/>
    </row>
    <row r="25" spans="1:12" ht="5.0999999999999996" customHeight="1" thickBot="1" x14ac:dyDescent="0.3">
      <c r="A25" s="42"/>
      <c r="B25" s="57"/>
      <c r="C25" s="58"/>
      <c r="D25" s="58"/>
      <c r="E25" s="58"/>
      <c r="F25" s="58"/>
      <c r="G25" s="58"/>
      <c r="H25" s="58"/>
      <c r="I25" s="58"/>
      <c r="J25" s="59"/>
      <c r="K25" s="42"/>
    </row>
    <row r="26" spans="1:12" ht="5.0999999999999996" customHeight="1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&amp;L&amp;"Calibri"&amp;10&amp;K000000Classified: Internal Personal and Confidential&amp;1#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1"/>
  <sheetViews>
    <sheetView topLeftCell="A18" workbookViewId="0">
      <selection activeCell="M39" sqref="M39"/>
    </sheetView>
  </sheetViews>
  <sheetFormatPr defaultColWidth="8.7109375" defaultRowHeight="15" x14ac:dyDescent="0.25"/>
  <cols>
    <col min="1" max="2" width="1.5703125" customWidth="1"/>
    <col min="3" max="3" width="28.42578125" customWidth="1"/>
    <col min="4" max="4" width="1.5703125" customWidth="1"/>
    <col min="5" max="5" width="10.5703125" style="42" customWidth="1"/>
    <col min="6" max="9" width="10.5703125" customWidth="1"/>
    <col min="10" max="11" width="1.5703125" customWidth="1"/>
    <col min="12" max="12" width="12" customWidth="1"/>
  </cols>
  <sheetData>
    <row r="1" spans="1:11" ht="5.0999999999999996" customHeight="1" thickBot="1" x14ac:dyDescent="0.3">
      <c r="A1" s="42"/>
      <c r="B1" s="42"/>
      <c r="C1" s="42"/>
      <c r="D1" s="42"/>
      <c r="F1" s="42"/>
      <c r="G1" s="42"/>
      <c r="H1" s="42"/>
      <c r="I1" s="42"/>
      <c r="J1" s="42"/>
      <c r="K1" s="42"/>
    </row>
    <row r="2" spans="1:11" ht="5.0999999999999996" customHeight="1" x14ac:dyDescent="0.25">
      <c r="A2" s="42"/>
      <c r="B2" s="43"/>
      <c r="C2" s="44"/>
      <c r="D2" s="44"/>
      <c r="E2" s="44"/>
      <c r="F2" s="44"/>
      <c r="G2" s="44"/>
      <c r="H2" s="44"/>
      <c r="I2" s="44"/>
      <c r="J2" s="45"/>
      <c r="K2" s="42"/>
    </row>
    <row r="3" spans="1:11" ht="18.75" x14ac:dyDescent="0.3">
      <c r="A3" s="42"/>
      <c r="B3" s="46"/>
      <c r="C3" s="47" t="s">
        <v>0</v>
      </c>
      <c r="D3" s="42"/>
      <c r="F3" s="42"/>
      <c r="G3" s="42"/>
      <c r="H3" s="42"/>
      <c r="I3" s="42"/>
      <c r="J3" s="48"/>
      <c r="K3" s="42"/>
    </row>
    <row r="4" spans="1:11" ht="18.75" x14ac:dyDescent="0.3">
      <c r="A4" s="42"/>
      <c r="B4" s="46"/>
      <c r="C4" s="47" t="s">
        <v>83</v>
      </c>
      <c r="D4" s="42"/>
      <c r="F4" s="42"/>
      <c r="G4" s="42"/>
      <c r="H4" s="42"/>
      <c r="I4" s="42"/>
      <c r="J4" s="48"/>
      <c r="K4" s="42"/>
    </row>
    <row r="5" spans="1:11" ht="18.75" x14ac:dyDescent="0.3">
      <c r="A5" s="42"/>
      <c r="B5" s="46"/>
      <c r="C5" s="47" t="s">
        <v>4</v>
      </c>
      <c r="D5" s="42"/>
      <c r="F5" s="42"/>
      <c r="G5" s="42"/>
      <c r="H5" s="42"/>
      <c r="I5" s="42"/>
      <c r="J5" s="48"/>
      <c r="K5" s="42"/>
    </row>
    <row r="6" spans="1:11" ht="5.0999999999999996" customHeight="1" x14ac:dyDescent="0.25">
      <c r="A6" s="42"/>
      <c r="B6" s="46"/>
      <c r="C6" s="42"/>
      <c r="D6" s="42"/>
      <c r="F6" s="42"/>
      <c r="G6" s="42"/>
      <c r="H6" s="42"/>
      <c r="I6" s="42"/>
      <c r="J6" s="48"/>
      <c r="K6" s="42"/>
    </row>
    <row r="7" spans="1:11" s="7" customFormat="1" ht="14.45" customHeight="1" x14ac:dyDescent="0.3">
      <c r="A7" s="49"/>
      <c r="B7" s="50"/>
      <c r="C7" s="47"/>
      <c r="D7" s="49"/>
      <c r="E7" s="51" t="s">
        <v>68</v>
      </c>
      <c r="F7" s="51" t="s">
        <v>130</v>
      </c>
      <c r="G7" s="51" t="s">
        <v>69</v>
      </c>
      <c r="H7" s="51" t="s">
        <v>70</v>
      </c>
      <c r="I7" s="51" t="s">
        <v>100</v>
      </c>
      <c r="J7" s="52"/>
      <c r="K7" s="49"/>
    </row>
    <row r="8" spans="1:11" s="7" customFormat="1" ht="14.45" customHeight="1" x14ac:dyDescent="0.3">
      <c r="A8" s="49"/>
      <c r="B8" s="50"/>
      <c r="C8" s="47"/>
      <c r="D8" s="49"/>
      <c r="E8" s="51" t="s">
        <v>137</v>
      </c>
      <c r="F8" s="51" t="s">
        <v>137</v>
      </c>
      <c r="G8" s="51" t="s">
        <v>79</v>
      </c>
      <c r="H8" s="51" t="s">
        <v>81</v>
      </c>
      <c r="I8" s="51"/>
      <c r="J8" s="52"/>
      <c r="K8" s="49"/>
    </row>
    <row r="9" spans="1:11" ht="5.0999999999999996" customHeight="1" x14ac:dyDescent="0.25">
      <c r="A9" s="42"/>
      <c r="B9" s="46"/>
      <c r="C9" s="42"/>
      <c r="D9" s="42"/>
      <c r="F9" s="42"/>
      <c r="G9" s="42"/>
      <c r="H9" s="42"/>
      <c r="I9" s="42"/>
      <c r="J9" s="48"/>
      <c r="K9" s="42"/>
    </row>
    <row r="10" spans="1:11" ht="15.75" x14ac:dyDescent="0.25">
      <c r="A10" s="42"/>
      <c r="B10" s="46"/>
      <c r="C10" s="53" t="s">
        <v>42</v>
      </c>
      <c r="D10" s="42"/>
      <c r="E10" s="54"/>
      <c r="F10" s="54"/>
      <c r="G10" s="42"/>
      <c r="H10" s="42"/>
      <c r="I10" s="42"/>
      <c r="J10" s="48"/>
      <c r="K10" s="42"/>
    </row>
    <row r="11" spans="1:11" x14ac:dyDescent="0.25">
      <c r="A11" s="42"/>
      <c r="B11" s="46"/>
      <c r="C11" s="42" t="s">
        <v>99</v>
      </c>
      <c r="D11" s="42"/>
      <c r="E11" s="55"/>
      <c r="F11" s="55"/>
      <c r="G11" s="55"/>
      <c r="H11" s="55"/>
      <c r="I11" s="55">
        <f>SUM(E11:H11)</f>
        <v>0</v>
      </c>
      <c r="J11" s="48"/>
      <c r="K11" s="42"/>
    </row>
    <row r="12" spans="1:11" x14ac:dyDescent="0.25">
      <c r="A12" s="42"/>
      <c r="B12" s="46"/>
      <c r="C12" s="42" t="s">
        <v>115</v>
      </c>
      <c r="D12" s="42"/>
      <c r="E12" s="55">
        <v>1398</v>
      </c>
      <c r="F12" s="55">
        <f>1844+152</f>
        <v>1996</v>
      </c>
      <c r="G12" s="55">
        <v>3532</v>
      </c>
      <c r="H12" s="55">
        <v>3429</v>
      </c>
      <c r="I12" s="55">
        <f>SUM(E12:H12)</f>
        <v>10355</v>
      </c>
      <c r="J12" s="48"/>
      <c r="K12" s="42"/>
    </row>
    <row r="13" spans="1:11" x14ac:dyDescent="0.25">
      <c r="A13" s="42"/>
      <c r="B13" s="46"/>
      <c r="C13" s="42" t="s">
        <v>116</v>
      </c>
      <c r="D13" s="42"/>
      <c r="E13" s="55"/>
      <c r="F13" s="55"/>
      <c r="G13" s="42"/>
      <c r="H13" s="42"/>
      <c r="I13" s="55">
        <f>SUM(E13:H13)</f>
        <v>0</v>
      </c>
      <c r="J13" s="48"/>
      <c r="K13" s="42"/>
    </row>
    <row r="14" spans="1:11" x14ac:dyDescent="0.25">
      <c r="A14" s="42"/>
      <c r="B14" s="46"/>
      <c r="C14" s="42" t="s">
        <v>117</v>
      </c>
      <c r="D14" s="42"/>
      <c r="E14" s="55"/>
      <c r="F14" s="55"/>
      <c r="G14" s="55"/>
      <c r="H14" s="55"/>
      <c r="I14" s="55">
        <f>SUM(E14:H14)</f>
        <v>0</v>
      </c>
      <c r="J14" s="48"/>
      <c r="K14" s="42"/>
    </row>
    <row r="15" spans="1:11" x14ac:dyDescent="0.25">
      <c r="A15" s="42"/>
      <c r="B15" s="46"/>
      <c r="C15" s="42" t="s">
        <v>40</v>
      </c>
      <c r="D15" s="42"/>
      <c r="E15" s="55"/>
      <c r="F15" s="55"/>
      <c r="G15" s="55"/>
      <c r="H15" s="55"/>
      <c r="I15" s="55">
        <f>SUM(E15:H15)</f>
        <v>0</v>
      </c>
      <c r="J15" s="48"/>
      <c r="K15" s="42"/>
    </row>
    <row r="16" spans="1:11" x14ac:dyDescent="0.25">
      <c r="A16" s="42"/>
      <c r="B16" s="46"/>
      <c r="C16" s="42" t="s">
        <v>139</v>
      </c>
      <c r="D16" s="42"/>
      <c r="E16" s="55"/>
      <c r="F16" s="55"/>
      <c r="G16" s="55">
        <v>-382</v>
      </c>
      <c r="H16" s="55"/>
      <c r="I16" s="55"/>
      <c r="J16" s="48"/>
      <c r="K16" s="42"/>
    </row>
    <row r="17" spans="1:11" x14ac:dyDescent="0.25">
      <c r="A17" s="42"/>
      <c r="B17" s="46"/>
      <c r="C17" s="42" t="s">
        <v>100</v>
      </c>
      <c r="D17" s="42"/>
      <c r="E17" s="55">
        <f>SUM(E11:E16)</f>
        <v>1398</v>
      </c>
      <c r="F17" s="55">
        <f>SUM(F11:F16)</f>
        <v>1996</v>
      </c>
      <c r="G17" s="55">
        <f>SUM(G11:G16)</f>
        <v>3150</v>
      </c>
      <c r="H17" s="55">
        <f>H12</f>
        <v>3429</v>
      </c>
      <c r="I17" s="55">
        <f>SUM(E17:H17)</f>
        <v>9973</v>
      </c>
      <c r="J17" s="48"/>
      <c r="K17" s="42"/>
    </row>
    <row r="18" spans="1:11" x14ac:dyDescent="0.25">
      <c r="A18" s="42"/>
      <c r="B18" s="46"/>
      <c r="C18" s="42" t="s">
        <v>44</v>
      </c>
      <c r="D18" s="42"/>
      <c r="E18" s="55">
        <v>83.1</v>
      </c>
      <c r="F18" s="55">
        <v>0</v>
      </c>
      <c r="G18" s="55">
        <v>219</v>
      </c>
      <c r="H18" s="55">
        <v>179</v>
      </c>
      <c r="I18" s="55">
        <f>SUM(E18:H18)</f>
        <v>481.1</v>
      </c>
      <c r="J18" s="48"/>
      <c r="K18" s="42"/>
    </row>
    <row r="19" spans="1:11" x14ac:dyDescent="0.25">
      <c r="A19" s="42"/>
      <c r="B19" s="46"/>
      <c r="C19" s="42" t="s">
        <v>45</v>
      </c>
      <c r="D19" s="42"/>
      <c r="E19" s="55"/>
      <c r="F19" s="55"/>
      <c r="G19" s="55"/>
      <c r="H19" s="55">
        <v>0</v>
      </c>
      <c r="I19" s="55">
        <f>SUM(E19:H19)</f>
        <v>0</v>
      </c>
      <c r="J19" s="48"/>
      <c r="K19" s="42"/>
    </row>
    <row r="20" spans="1:11" x14ac:dyDescent="0.25">
      <c r="A20" s="42"/>
      <c r="B20" s="46"/>
      <c r="C20" s="42" t="s">
        <v>102</v>
      </c>
      <c r="D20" s="42"/>
      <c r="E20" s="55"/>
      <c r="F20" s="55"/>
      <c r="G20" s="55"/>
      <c r="H20" s="55">
        <v>0</v>
      </c>
      <c r="I20" s="55">
        <f>SUM(E20:H20)</f>
        <v>0</v>
      </c>
      <c r="J20" s="48"/>
      <c r="K20" s="42"/>
    </row>
    <row r="21" spans="1:11" s="7" customFormat="1" x14ac:dyDescent="0.25">
      <c r="A21" s="49"/>
      <c r="B21" s="50"/>
      <c r="C21" s="49" t="s">
        <v>82</v>
      </c>
      <c r="D21" s="49"/>
      <c r="E21" s="56">
        <f>SUM(E17:E20)</f>
        <v>1481.1</v>
      </c>
      <c r="F21" s="56">
        <f>SUM(F17:F20)</f>
        <v>1996</v>
      </c>
      <c r="G21" s="56">
        <f>SUM(G17:G20)</f>
        <v>3369</v>
      </c>
      <c r="H21" s="56">
        <f>SUM(H17:H20)</f>
        <v>3608</v>
      </c>
      <c r="I21" s="56">
        <f>SUM(I17:I20)</f>
        <v>10454.1</v>
      </c>
      <c r="J21" s="52"/>
      <c r="K21" s="49"/>
    </row>
    <row r="22" spans="1:11" s="37" customFormat="1" x14ac:dyDescent="0.25">
      <c r="A22" s="66"/>
      <c r="B22" s="67"/>
      <c r="C22" s="66" t="s">
        <v>101</v>
      </c>
      <c r="D22" s="66"/>
      <c r="E22" s="68">
        <f>E12/12</f>
        <v>116.5</v>
      </c>
      <c r="F22" s="68">
        <v>154</v>
      </c>
      <c r="G22" s="68">
        <f>G12/16</f>
        <v>220.75</v>
      </c>
      <c r="H22" s="68">
        <v>240</v>
      </c>
      <c r="I22" s="55">
        <f>SUM(E22:H22)</f>
        <v>731.25</v>
      </c>
      <c r="J22" s="69"/>
      <c r="K22" s="66"/>
    </row>
    <row r="23" spans="1:11" ht="5.0999999999999996" customHeight="1" x14ac:dyDescent="0.25">
      <c r="A23" s="42"/>
      <c r="B23" s="46"/>
      <c r="C23" s="42"/>
      <c r="D23" s="42"/>
      <c r="E23" s="55"/>
      <c r="F23" s="55"/>
      <c r="G23" s="55"/>
      <c r="H23" s="55"/>
      <c r="I23" s="55"/>
      <c r="J23" s="48"/>
      <c r="K23" s="42"/>
    </row>
    <row r="24" spans="1:11" x14ac:dyDescent="0.25">
      <c r="A24" s="42"/>
      <c r="B24" s="46"/>
      <c r="C24" s="49" t="s">
        <v>16</v>
      </c>
      <c r="D24" s="42"/>
      <c r="E24" s="55"/>
      <c r="F24" s="55"/>
      <c r="G24" s="55"/>
      <c r="H24" s="55"/>
      <c r="I24" s="55"/>
      <c r="J24" s="48"/>
      <c r="K24" s="42"/>
    </row>
    <row r="25" spans="1:11" x14ac:dyDescent="0.25">
      <c r="A25" s="42"/>
      <c r="B25" s="46"/>
      <c r="C25" s="65" t="s">
        <v>118</v>
      </c>
      <c r="D25" s="42"/>
      <c r="E25" s="55"/>
      <c r="F25" s="55"/>
      <c r="G25" s="55"/>
      <c r="H25" s="55"/>
      <c r="I25" s="55"/>
      <c r="J25" s="48"/>
      <c r="K25" s="42"/>
    </row>
    <row r="26" spans="1:11" x14ac:dyDescent="0.25">
      <c r="A26" s="42"/>
      <c r="B26" s="46"/>
      <c r="C26" s="42" t="s">
        <v>47</v>
      </c>
      <c r="D26" s="42"/>
      <c r="E26" s="55">
        <f>Assumptions!$H$24</f>
        <v>689</v>
      </c>
      <c r="F26" s="55">
        <f>Assumptions!$H$24</f>
        <v>689</v>
      </c>
      <c r="G26" s="55">
        <f>Assumptions!$H$24</f>
        <v>689</v>
      </c>
      <c r="H26" s="55">
        <f>Assumptions!H24+(100)</f>
        <v>789</v>
      </c>
      <c r="I26" s="55">
        <f t="shared" ref="I26:I31" si="0">SUM(E26:H26)</f>
        <v>2856</v>
      </c>
      <c r="J26" s="48"/>
      <c r="K26" s="42"/>
    </row>
    <row r="27" spans="1:11" x14ac:dyDescent="0.25">
      <c r="A27" s="42"/>
      <c r="B27" s="46"/>
      <c r="C27" s="42" t="s">
        <v>48</v>
      </c>
      <c r="D27" s="42"/>
      <c r="E27" s="55"/>
      <c r="F27" s="55"/>
      <c r="G27" s="55">
        <f>2875+632+48</f>
        <v>3555</v>
      </c>
      <c r="H27" s="55"/>
      <c r="I27" s="55">
        <f t="shared" si="0"/>
        <v>3555</v>
      </c>
      <c r="J27" s="48"/>
      <c r="K27" s="42"/>
    </row>
    <row r="28" spans="1:11" x14ac:dyDescent="0.25">
      <c r="A28" s="42"/>
      <c r="B28" s="46"/>
      <c r="C28" s="42" t="s">
        <v>49</v>
      </c>
      <c r="D28" s="42"/>
      <c r="E28" s="55">
        <v>389</v>
      </c>
      <c r="F28" s="55">
        <f>Assumptions!H27</f>
        <v>389</v>
      </c>
      <c r="G28" s="55">
        <v>389</v>
      </c>
      <c r="H28" s="55">
        <v>175</v>
      </c>
      <c r="I28" s="55">
        <f t="shared" si="0"/>
        <v>1342</v>
      </c>
      <c r="J28" s="48"/>
      <c r="K28" s="42"/>
    </row>
    <row r="29" spans="1:11" x14ac:dyDescent="0.25">
      <c r="A29" s="42"/>
      <c r="B29" s="46"/>
      <c r="C29" s="42" t="s">
        <v>50</v>
      </c>
      <c r="D29" s="42"/>
      <c r="E29" s="55"/>
      <c r="F29" s="55"/>
      <c r="G29" s="55">
        <f>550+225+225+195+195+625</f>
        <v>2015</v>
      </c>
      <c r="H29" s="55">
        <f>500+200</f>
        <v>700</v>
      </c>
      <c r="I29" s="55">
        <f t="shared" si="0"/>
        <v>2715</v>
      </c>
      <c r="J29" s="48"/>
      <c r="K29" s="42"/>
    </row>
    <row r="30" spans="1:11" x14ac:dyDescent="0.25">
      <c r="A30" s="42"/>
      <c r="B30" s="46"/>
      <c r="C30" s="42" t="s">
        <v>51</v>
      </c>
      <c r="D30" s="42"/>
      <c r="E30" s="55"/>
      <c r="F30" s="55"/>
      <c r="G30" s="55">
        <v>336</v>
      </c>
      <c r="H30" s="55">
        <v>900</v>
      </c>
      <c r="I30" s="55">
        <f t="shared" si="0"/>
        <v>1236</v>
      </c>
      <c r="J30" s="48"/>
      <c r="K30" s="42"/>
    </row>
    <row r="31" spans="1:11" x14ac:dyDescent="0.25">
      <c r="A31" s="42"/>
      <c r="B31" s="46"/>
      <c r="C31" s="42" t="s">
        <v>52</v>
      </c>
      <c r="D31" s="42"/>
      <c r="E31" s="55"/>
      <c r="F31" s="55"/>
      <c r="G31" s="55"/>
      <c r="H31" s="55"/>
      <c r="I31" s="55">
        <f t="shared" si="0"/>
        <v>0</v>
      </c>
      <c r="J31" s="48"/>
      <c r="K31" s="42"/>
    </row>
    <row r="32" spans="1:11" x14ac:dyDescent="0.25">
      <c r="A32" s="42"/>
      <c r="B32" s="46"/>
      <c r="C32" s="65" t="s">
        <v>53</v>
      </c>
      <c r="D32" s="42"/>
      <c r="E32" s="55"/>
      <c r="F32" s="55"/>
      <c r="G32" s="55"/>
      <c r="H32" s="55"/>
      <c r="I32" s="55"/>
      <c r="J32" s="48"/>
      <c r="K32" s="42"/>
    </row>
    <row r="33" spans="1:12" x14ac:dyDescent="0.25">
      <c r="A33" s="42"/>
      <c r="B33" s="46"/>
      <c r="C33" s="42" t="s">
        <v>54</v>
      </c>
      <c r="D33" s="42"/>
      <c r="E33" s="55">
        <v>540</v>
      </c>
      <c r="F33" s="55">
        <v>540</v>
      </c>
      <c r="G33" s="55">
        <f>(Assumptions!H45)+120</f>
        <v>1614</v>
      </c>
      <c r="H33" s="55">
        <v>2000</v>
      </c>
      <c r="I33" s="55">
        <f>SUM(E33:H33)</f>
        <v>4694</v>
      </c>
      <c r="J33" s="48"/>
      <c r="K33" s="42"/>
    </row>
    <row r="34" spans="1:12" x14ac:dyDescent="0.25">
      <c r="A34" s="42"/>
      <c r="B34" s="46"/>
      <c r="C34" s="42" t="s">
        <v>55</v>
      </c>
      <c r="D34" s="42"/>
      <c r="E34" s="55">
        <v>212</v>
      </c>
      <c r="F34" s="55">
        <v>0</v>
      </c>
      <c r="G34" s="55">
        <f>67</f>
        <v>67</v>
      </c>
      <c r="H34" s="55">
        <v>190</v>
      </c>
      <c r="I34" s="55">
        <f>SUM(E34:H34)</f>
        <v>469</v>
      </c>
      <c r="J34" s="48"/>
      <c r="K34" s="42"/>
      <c r="L34" t="s">
        <v>157</v>
      </c>
    </row>
    <row r="35" spans="1:12" x14ac:dyDescent="0.25">
      <c r="A35" s="42"/>
      <c r="B35" s="46"/>
      <c r="C35" s="42" t="s">
        <v>56</v>
      </c>
      <c r="D35" s="42"/>
      <c r="E35" s="55"/>
      <c r="F35" s="55">
        <v>0</v>
      </c>
      <c r="G35" s="74"/>
      <c r="H35" s="55">
        <v>1500</v>
      </c>
      <c r="I35" s="55">
        <f>SUM(E35:H35)</f>
        <v>1500</v>
      </c>
      <c r="J35" s="48"/>
      <c r="K35" s="42"/>
    </row>
    <row r="36" spans="1:12" x14ac:dyDescent="0.25">
      <c r="A36" s="42"/>
      <c r="B36" s="46"/>
      <c r="C36" s="42" t="s">
        <v>57</v>
      </c>
      <c r="D36" s="42"/>
      <c r="E36" s="55"/>
      <c r="F36" s="55">
        <v>50</v>
      </c>
      <c r="G36" s="55"/>
      <c r="H36" s="55">
        <v>454</v>
      </c>
      <c r="I36" s="55">
        <f>SUM(E36:H36)</f>
        <v>504</v>
      </c>
      <c r="J36" s="48"/>
      <c r="K36" s="42"/>
    </row>
    <row r="37" spans="1:12" x14ac:dyDescent="0.25">
      <c r="A37" s="42"/>
      <c r="B37" s="46"/>
      <c r="C37" s="65" t="s">
        <v>58</v>
      </c>
      <c r="D37" s="42"/>
      <c r="E37" s="55"/>
      <c r="F37" s="55"/>
      <c r="G37" s="55"/>
      <c r="H37" s="55"/>
      <c r="I37" s="55"/>
      <c r="J37" s="48"/>
      <c r="K37" s="42"/>
    </row>
    <row r="38" spans="1:12" x14ac:dyDescent="0.25">
      <c r="A38" s="42"/>
      <c r="B38" s="46"/>
      <c r="C38" s="42" t="s">
        <v>43</v>
      </c>
      <c r="D38" s="42"/>
      <c r="E38" s="55">
        <v>47</v>
      </c>
      <c r="F38" s="55">
        <v>47</v>
      </c>
      <c r="G38" s="55"/>
      <c r="H38" s="55">
        <v>47</v>
      </c>
      <c r="I38" s="55">
        <f>SUM(E38:H38)</f>
        <v>141</v>
      </c>
      <c r="J38" s="48"/>
      <c r="K38" s="42"/>
    </row>
    <row r="39" spans="1:12" x14ac:dyDescent="0.25">
      <c r="A39" s="42"/>
      <c r="B39" s="46"/>
      <c r="C39" s="42" t="s">
        <v>30</v>
      </c>
      <c r="D39" s="42"/>
      <c r="E39" s="55"/>
      <c r="F39" s="55"/>
      <c r="G39" s="55">
        <v>20</v>
      </c>
      <c r="H39" s="55">
        <v>5</v>
      </c>
      <c r="I39" s="55">
        <f>SUM(E39:H39)</f>
        <v>25</v>
      </c>
      <c r="J39" s="48"/>
      <c r="K39" s="42"/>
    </row>
    <row r="40" spans="1:12" x14ac:dyDescent="0.25">
      <c r="A40" s="42"/>
      <c r="B40" s="46"/>
      <c r="C40" s="42" t="s">
        <v>119</v>
      </c>
      <c r="D40" s="42"/>
      <c r="E40" s="55">
        <v>200</v>
      </c>
      <c r="F40" s="55">
        <v>155</v>
      </c>
      <c r="G40" s="55">
        <f>262+90</f>
        <v>352</v>
      </c>
      <c r="H40" s="55">
        <v>270</v>
      </c>
      <c r="I40" s="55">
        <f>SUM(E40:H40)</f>
        <v>977</v>
      </c>
      <c r="J40" s="48"/>
      <c r="K40" s="42"/>
    </row>
    <row r="41" spans="1:12" x14ac:dyDescent="0.25">
      <c r="A41" s="42"/>
      <c r="B41" s="46"/>
      <c r="C41" s="42" t="s">
        <v>60</v>
      </c>
      <c r="D41" s="42"/>
      <c r="E41" s="55">
        <v>105</v>
      </c>
      <c r="F41" s="55"/>
      <c r="G41" s="71">
        <v>200</v>
      </c>
      <c r="H41" s="55">
        <v>210</v>
      </c>
      <c r="I41" s="55">
        <f>SUM(E41:H41)</f>
        <v>515</v>
      </c>
      <c r="J41" s="48"/>
      <c r="K41" s="42"/>
    </row>
    <row r="42" spans="1:12" x14ac:dyDescent="0.25">
      <c r="A42" s="42"/>
      <c r="B42" s="46"/>
      <c r="C42" s="65" t="s">
        <v>120</v>
      </c>
      <c r="D42" s="42"/>
      <c r="E42" s="55"/>
      <c r="F42" s="55"/>
      <c r="G42" s="55"/>
      <c r="H42" s="55"/>
      <c r="I42" s="55"/>
      <c r="J42" s="48"/>
      <c r="K42" s="42"/>
    </row>
    <row r="43" spans="1:12" x14ac:dyDescent="0.25">
      <c r="A43" s="42"/>
      <c r="B43" s="46"/>
      <c r="C43" s="42" t="s">
        <v>45</v>
      </c>
      <c r="D43" s="42"/>
      <c r="E43" s="55"/>
      <c r="F43" s="55"/>
      <c r="G43" s="55"/>
      <c r="H43" s="55"/>
      <c r="I43" s="55">
        <f>SUM(E43:H43)</f>
        <v>0</v>
      </c>
      <c r="J43" s="48"/>
      <c r="K43" s="42"/>
    </row>
    <row r="44" spans="1:12" x14ac:dyDescent="0.25">
      <c r="A44" s="42"/>
      <c r="B44" s="46"/>
      <c r="C44" s="42" t="s">
        <v>64</v>
      </c>
      <c r="D44" s="42"/>
      <c r="E44" s="55"/>
      <c r="F44" s="55"/>
      <c r="G44" s="55"/>
      <c r="H44" s="55"/>
      <c r="I44" s="55">
        <f>SUM(E44:H44)</f>
        <v>0</v>
      </c>
      <c r="J44" s="48"/>
      <c r="K44" s="42"/>
    </row>
    <row r="45" spans="1:12" x14ac:dyDescent="0.25">
      <c r="A45" s="42"/>
      <c r="B45" s="46"/>
      <c r="C45" s="42" t="s">
        <v>65</v>
      </c>
      <c r="D45" s="42"/>
      <c r="E45" s="55">
        <v>80</v>
      </c>
      <c r="F45" s="55">
        <v>80</v>
      </c>
      <c r="G45" s="55">
        <v>0</v>
      </c>
      <c r="H45" s="55">
        <v>150</v>
      </c>
      <c r="I45" s="55">
        <f>SUM(E45:H45)</f>
        <v>310</v>
      </c>
      <c r="J45" s="48"/>
      <c r="K45" s="42"/>
    </row>
    <row r="46" spans="1:12" x14ac:dyDescent="0.25">
      <c r="A46" s="42"/>
      <c r="B46" s="46"/>
      <c r="C46" s="42" t="s">
        <v>144</v>
      </c>
      <c r="D46" s="42"/>
      <c r="E46" s="55"/>
      <c r="F46" s="55"/>
      <c r="G46" s="55">
        <v>-14</v>
      </c>
      <c r="H46" s="55">
        <v>87</v>
      </c>
      <c r="I46" s="55">
        <f>SUM(E46:H46)</f>
        <v>73</v>
      </c>
      <c r="J46" s="48"/>
      <c r="K46" s="42"/>
      <c r="L46" t="s">
        <v>167</v>
      </c>
    </row>
    <row r="47" spans="1:12" ht="15.75" x14ac:dyDescent="0.25">
      <c r="A47" s="42"/>
      <c r="B47" s="46"/>
      <c r="C47" s="53" t="s">
        <v>16</v>
      </c>
      <c r="D47" s="42"/>
      <c r="E47" s="56">
        <f>SUM(E26:E46)</f>
        <v>2262</v>
      </c>
      <c r="F47" s="56">
        <f>SUM(F26:F46)</f>
        <v>1950</v>
      </c>
      <c r="G47" s="56">
        <f>SUM(G26:G46)</f>
        <v>9223</v>
      </c>
      <c r="H47" s="56">
        <f>SUM(H26:H46)</f>
        <v>7477</v>
      </c>
      <c r="I47" s="56">
        <f>SUM(I26:I46)</f>
        <v>20912</v>
      </c>
      <c r="J47" s="48"/>
      <c r="K47" s="42"/>
      <c r="L47" t="s">
        <v>163</v>
      </c>
    </row>
    <row r="48" spans="1:12" ht="5.0999999999999996" customHeight="1" x14ac:dyDescent="0.25">
      <c r="A48" s="42"/>
      <c r="B48" s="46"/>
      <c r="C48" s="42"/>
      <c r="D48" s="42"/>
      <c r="E48" s="55"/>
      <c r="F48" s="55"/>
      <c r="G48" s="55"/>
      <c r="H48" s="55"/>
      <c r="I48" s="55"/>
      <c r="J48" s="48"/>
      <c r="K48" s="42"/>
    </row>
    <row r="49" spans="1:11" ht="15.75" x14ac:dyDescent="0.25">
      <c r="A49" s="42"/>
      <c r="B49" s="46"/>
      <c r="C49" s="53" t="s">
        <v>121</v>
      </c>
      <c r="D49" s="42"/>
      <c r="E49" s="56">
        <f>E21-E47</f>
        <v>-780.90000000000009</v>
      </c>
      <c r="F49" s="56">
        <f>F21-F47</f>
        <v>46</v>
      </c>
      <c r="G49" s="56">
        <f>G21-G47</f>
        <v>-5854</v>
      </c>
      <c r="H49" s="56">
        <f>H21-H47</f>
        <v>-3869</v>
      </c>
      <c r="I49" s="56">
        <f>I21-I47</f>
        <v>-10457.9</v>
      </c>
      <c r="J49" s="48"/>
      <c r="K49" s="42"/>
    </row>
    <row r="50" spans="1:11" ht="5.0999999999999996" customHeight="1" thickBot="1" x14ac:dyDescent="0.3">
      <c r="A50" s="42"/>
      <c r="B50" s="57"/>
      <c r="C50" s="58"/>
      <c r="D50" s="58"/>
      <c r="E50" s="58"/>
      <c r="F50" s="58"/>
      <c r="G50" s="58"/>
      <c r="H50" s="58"/>
      <c r="I50" s="58"/>
      <c r="J50" s="59"/>
      <c r="K50" s="42"/>
    </row>
    <row r="51" spans="1:11" ht="5.0999999999999996" customHeight="1" x14ac:dyDescent="0.25">
      <c r="A51" s="42"/>
      <c r="B51" s="42"/>
      <c r="C51" s="42"/>
      <c r="D51" s="42"/>
      <c r="F51" s="42"/>
      <c r="G51" s="42"/>
      <c r="H51" s="42"/>
      <c r="I51" s="42"/>
      <c r="J51" s="42"/>
      <c r="K51" s="4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69"/>
  <sheetViews>
    <sheetView topLeftCell="B12" workbookViewId="0">
      <selection activeCell="N38" sqref="N38"/>
    </sheetView>
  </sheetViews>
  <sheetFormatPr defaultColWidth="8.7109375" defaultRowHeight="15" x14ac:dyDescent="0.25"/>
  <cols>
    <col min="1" max="2" width="1.5703125" customWidth="1"/>
    <col min="3" max="3" width="28.42578125" customWidth="1"/>
    <col min="4" max="4" width="1.5703125" customWidth="1"/>
    <col min="5" max="9" width="10.5703125" customWidth="1"/>
    <col min="10" max="11" width="1.5703125" customWidth="1"/>
    <col min="12" max="12" width="12" customWidth="1"/>
    <col min="22" max="22" width="8.42578125" customWidth="1"/>
  </cols>
  <sheetData>
    <row r="1" spans="1:21" ht="5.0999999999999996" customHeight="1" thickBot="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21" ht="5.0999999999999996" customHeight="1" x14ac:dyDescent="0.25">
      <c r="A2" s="42"/>
      <c r="B2" s="43"/>
      <c r="C2" s="44"/>
      <c r="D2" s="44"/>
      <c r="E2" s="44"/>
      <c r="F2" s="44"/>
      <c r="G2" s="44"/>
      <c r="H2" s="44"/>
      <c r="I2" s="44"/>
      <c r="J2" s="45"/>
      <c r="K2" s="42"/>
    </row>
    <row r="3" spans="1:21" ht="18.75" x14ac:dyDescent="0.3">
      <c r="A3" s="42"/>
      <c r="B3" s="46"/>
      <c r="C3" s="47" t="s">
        <v>0</v>
      </c>
      <c r="D3" s="42"/>
      <c r="E3" s="42"/>
      <c r="F3" s="42"/>
      <c r="G3" s="42"/>
      <c r="H3" s="42"/>
      <c r="I3" s="42"/>
      <c r="J3" s="48"/>
      <c r="K3" s="42"/>
    </row>
    <row r="4" spans="1:21" ht="18.75" x14ac:dyDescent="0.3">
      <c r="A4" s="42"/>
      <c r="B4" s="46"/>
      <c r="C4" s="47" t="s">
        <v>83</v>
      </c>
      <c r="D4" s="42"/>
      <c r="E4" s="42"/>
      <c r="F4" s="42"/>
      <c r="G4" s="42"/>
      <c r="H4" s="42"/>
      <c r="I4" s="42"/>
      <c r="J4" s="48"/>
      <c r="K4" s="42"/>
    </row>
    <row r="5" spans="1:21" ht="18.75" x14ac:dyDescent="0.3">
      <c r="A5" s="42"/>
      <c r="B5" s="46"/>
      <c r="C5" s="47" t="s">
        <v>4</v>
      </c>
      <c r="D5" s="42"/>
      <c r="E5" s="42"/>
      <c r="F5" s="42"/>
      <c r="G5" s="42"/>
      <c r="H5" s="42"/>
      <c r="I5" s="42"/>
      <c r="J5" s="48"/>
      <c r="K5" s="42"/>
    </row>
    <row r="6" spans="1:21" ht="5.0999999999999996" customHeight="1" x14ac:dyDescent="0.25">
      <c r="A6" s="42"/>
      <c r="B6" s="46"/>
      <c r="C6" s="42"/>
      <c r="D6" s="42"/>
      <c r="E6" s="42"/>
      <c r="F6" s="42"/>
      <c r="G6" s="42"/>
      <c r="H6" s="42"/>
      <c r="I6" s="42"/>
      <c r="J6" s="48"/>
      <c r="K6" s="42"/>
    </row>
    <row r="7" spans="1:21" s="7" customFormat="1" ht="14.45" customHeight="1" x14ac:dyDescent="0.3">
      <c r="A7" s="49"/>
      <c r="B7" s="50"/>
      <c r="C7" s="47"/>
      <c r="D7" s="49"/>
      <c r="E7" s="51" t="s">
        <v>68</v>
      </c>
      <c r="F7" s="51" t="s">
        <v>130</v>
      </c>
      <c r="G7" s="51" t="s">
        <v>69</v>
      </c>
      <c r="H7" s="51" t="s">
        <v>70</v>
      </c>
      <c r="I7" s="51" t="s">
        <v>100</v>
      </c>
      <c r="J7" s="52"/>
      <c r="K7" s="49"/>
    </row>
    <row r="8" spans="1:21" s="7" customFormat="1" ht="14.45" customHeight="1" x14ac:dyDescent="0.3">
      <c r="A8" s="49"/>
      <c r="B8" s="50"/>
      <c r="C8" s="47"/>
      <c r="D8" s="49"/>
      <c r="E8" s="51" t="s">
        <v>137</v>
      </c>
      <c r="F8" s="51" t="s">
        <v>137</v>
      </c>
      <c r="G8" s="51" t="s">
        <v>138</v>
      </c>
      <c r="H8" s="51" t="s">
        <v>201</v>
      </c>
      <c r="I8" s="51"/>
      <c r="J8" s="52"/>
      <c r="K8" s="49"/>
    </row>
    <row r="9" spans="1:21" ht="5.0999999999999996" customHeight="1" x14ac:dyDescent="0.25">
      <c r="A9" s="42"/>
      <c r="B9" s="46"/>
      <c r="C9" s="42"/>
      <c r="D9" s="42"/>
      <c r="E9" s="42"/>
      <c r="F9" s="42"/>
      <c r="G9" s="42"/>
      <c r="H9" s="42"/>
      <c r="I9" s="42"/>
      <c r="J9" s="48"/>
      <c r="K9" s="42"/>
    </row>
    <row r="10" spans="1:21" ht="15.75" x14ac:dyDescent="0.25">
      <c r="A10" s="42"/>
      <c r="B10" s="46"/>
      <c r="C10" s="53" t="s">
        <v>42</v>
      </c>
      <c r="D10" s="42"/>
      <c r="E10" s="54"/>
      <c r="F10" s="54"/>
      <c r="G10" s="42"/>
      <c r="H10" s="42"/>
      <c r="I10" s="42"/>
      <c r="J10" s="48"/>
      <c r="K10" s="42"/>
    </row>
    <row r="11" spans="1:21" x14ac:dyDescent="0.25">
      <c r="A11" s="42"/>
      <c r="B11" s="46"/>
      <c r="C11" s="42" t="s">
        <v>99</v>
      </c>
      <c r="D11" s="42"/>
      <c r="E11" s="55"/>
      <c r="F11" s="55"/>
      <c r="G11" s="55"/>
      <c r="H11" s="55"/>
      <c r="I11" s="55">
        <f>SUM(E11:H11)</f>
        <v>0</v>
      </c>
      <c r="J11" s="48"/>
      <c r="K11" s="42"/>
      <c r="T11" s="71">
        <v>-200</v>
      </c>
      <c r="U11" s="71">
        <v>0</v>
      </c>
    </row>
    <row r="12" spans="1:21" x14ac:dyDescent="0.25">
      <c r="A12" s="42"/>
      <c r="B12" s="46"/>
      <c r="C12" s="42" t="s">
        <v>115</v>
      </c>
      <c r="D12" s="42"/>
      <c r="E12" s="55"/>
      <c r="F12" s="55"/>
      <c r="G12" s="55">
        <f>2247+80+16+16</f>
        <v>2359</v>
      </c>
      <c r="H12" s="55">
        <f>(79+127)*18</f>
        <v>3708</v>
      </c>
      <c r="I12" s="55">
        <f t="shared" ref="I12:I22" si="0">SUM(E12:H12)</f>
        <v>6067</v>
      </c>
      <c r="J12" s="48"/>
      <c r="K12" s="42"/>
      <c r="T12" s="71">
        <v>-1241</v>
      </c>
      <c r="U12" s="71">
        <v>-1692</v>
      </c>
    </row>
    <row r="13" spans="1:21" x14ac:dyDescent="0.25">
      <c r="A13" s="42"/>
      <c r="B13" s="46"/>
      <c r="C13" s="42" t="s">
        <v>116</v>
      </c>
      <c r="D13" s="42"/>
      <c r="F13" s="55"/>
      <c r="G13" s="42"/>
      <c r="H13" s="42">
        <f>12*10</f>
        <v>120</v>
      </c>
      <c r="I13" s="55">
        <f t="shared" si="0"/>
        <v>120</v>
      </c>
      <c r="J13" s="48"/>
      <c r="K13" s="42"/>
      <c r="T13" s="71">
        <v>0</v>
      </c>
      <c r="U13" s="71">
        <v>120</v>
      </c>
    </row>
    <row r="14" spans="1:21" x14ac:dyDescent="0.25">
      <c r="A14" s="42"/>
      <c r="B14" s="46"/>
      <c r="C14" s="42" t="s">
        <v>117</v>
      </c>
      <c r="D14" s="42"/>
      <c r="E14" s="55"/>
      <c r="F14" s="55"/>
      <c r="G14" s="55"/>
      <c r="H14" s="55">
        <f>(10*0.9*3)+(18*0.9*3)</f>
        <v>75.599999999999994</v>
      </c>
      <c r="I14" s="55">
        <f t="shared" si="0"/>
        <v>75.599999999999994</v>
      </c>
      <c r="J14" s="48"/>
      <c r="K14" s="42"/>
      <c r="T14" s="71">
        <v>0</v>
      </c>
      <c r="U14" s="71">
        <v>75.599999999999994</v>
      </c>
    </row>
    <row r="15" spans="1:21" x14ac:dyDescent="0.25">
      <c r="A15" s="42"/>
      <c r="B15" s="46"/>
      <c r="C15" s="42" t="s">
        <v>40</v>
      </c>
      <c r="D15" s="42"/>
      <c r="E15" s="55"/>
      <c r="F15" s="55"/>
      <c r="G15" s="55">
        <v>10</v>
      </c>
      <c r="H15" s="55">
        <f>7*5</f>
        <v>35</v>
      </c>
      <c r="I15" s="55">
        <f>SUM(E15:H15)</f>
        <v>45</v>
      </c>
      <c r="J15" s="48"/>
      <c r="K15" s="42"/>
      <c r="T15" s="71">
        <v>-115</v>
      </c>
      <c r="U15" s="71">
        <v>-215</v>
      </c>
    </row>
    <row r="16" spans="1:21" x14ac:dyDescent="0.25">
      <c r="A16" s="42"/>
      <c r="B16" s="46"/>
      <c r="C16" s="42" t="s">
        <v>139</v>
      </c>
      <c r="D16" s="42"/>
      <c r="E16" s="55"/>
      <c r="F16" s="55"/>
      <c r="G16" s="55"/>
      <c r="H16" s="55">
        <f>-198*1.2</f>
        <v>-237.6</v>
      </c>
      <c r="I16" s="55"/>
      <c r="J16" s="48"/>
      <c r="K16" s="42"/>
      <c r="T16" s="71">
        <v>0</v>
      </c>
      <c r="U16" s="71">
        <v>-96.35</v>
      </c>
    </row>
    <row r="17" spans="1:21" x14ac:dyDescent="0.25">
      <c r="A17" s="42"/>
      <c r="B17" s="46"/>
      <c r="C17" s="42" t="s">
        <v>100</v>
      </c>
      <c r="D17" s="42"/>
      <c r="E17" s="55">
        <v>2859</v>
      </c>
      <c r="F17" s="55">
        <f>2808+159</f>
        <v>2967</v>
      </c>
      <c r="G17" s="55">
        <f>SUM(G11:G16)</f>
        <v>2369</v>
      </c>
      <c r="H17" s="55">
        <f>SUM(H11:H16)</f>
        <v>3701</v>
      </c>
      <c r="I17" s="55">
        <f t="shared" si="0"/>
        <v>11896</v>
      </c>
      <c r="J17" s="48"/>
      <c r="K17" s="42"/>
      <c r="T17" s="71">
        <v>-1556</v>
      </c>
      <c r="U17" s="71">
        <v>-1807.75</v>
      </c>
    </row>
    <row r="18" spans="1:21" x14ac:dyDescent="0.25">
      <c r="A18" s="42"/>
      <c r="B18" s="46"/>
      <c r="C18" s="42" t="s">
        <v>44</v>
      </c>
      <c r="D18" s="42"/>
      <c r="E18" s="55">
        <v>145</v>
      </c>
      <c r="F18" s="55">
        <v>110.82</v>
      </c>
      <c r="G18" s="55">
        <v>98</v>
      </c>
      <c r="H18" s="55">
        <v>178</v>
      </c>
      <c r="I18" s="55">
        <f t="shared" si="0"/>
        <v>531.81999999999994</v>
      </c>
      <c r="J18" s="48"/>
      <c r="K18" s="42"/>
      <c r="T18" s="71">
        <v>-2</v>
      </c>
      <c r="U18" s="71">
        <v>53</v>
      </c>
    </row>
    <row r="19" spans="1:21" x14ac:dyDescent="0.25">
      <c r="A19" s="42"/>
      <c r="B19" s="46"/>
      <c r="C19" s="42" t="s">
        <v>45</v>
      </c>
      <c r="D19" s="42"/>
      <c r="E19" s="55">
        <v>107</v>
      </c>
      <c r="F19" s="55"/>
      <c r="G19" s="55">
        <v>78.7</v>
      </c>
      <c r="H19" s="55"/>
      <c r="I19" s="55">
        <f t="shared" si="0"/>
        <v>185.7</v>
      </c>
      <c r="J19" s="48"/>
      <c r="K19" s="42"/>
      <c r="T19" s="71">
        <v>78.7</v>
      </c>
      <c r="U19" s="71">
        <v>0</v>
      </c>
    </row>
    <row r="20" spans="1:21" x14ac:dyDescent="0.25">
      <c r="A20" s="42"/>
      <c r="B20" s="46"/>
      <c r="C20" s="42" t="s">
        <v>102</v>
      </c>
      <c r="D20" s="42"/>
      <c r="E20" s="55"/>
      <c r="F20" s="55"/>
      <c r="G20" s="55"/>
      <c r="H20" s="55"/>
      <c r="I20" s="55">
        <f t="shared" si="0"/>
        <v>0</v>
      </c>
      <c r="J20" s="48"/>
      <c r="K20" s="42"/>
      <c r="T20" s="71">
        <v>0</v>
      </c>
      <c r="U20" s="71">
        <v>0</v>
      </c>
    </row>
    <row r="21" spans="1:21" s="7" customFormat="1" x14ac:dyDescent="0.25">
      <c r="A21" s="49"/>
      <c r="B21" s="50"/>
      <c r="C21" s="49" t="s">
        <v>82</v>
      </c>
      <c r="D21" s="49"/>
      <c r="E21" s="56">
        <f>SUM(E17:E20)</f>
        <v>3111</v>
      </c>
      <c r="F21" s="56">
        <f>SUM(F17:F20)</f>
        <v>3077.82</v>
      </c>
      <c r="G21" s="56">
        <f>SUM(G17:G20)</f>
        <v>2545.6999999999998</v>
      </c>
      <c r="H21" s="56">
        <f>SUM(H17:H20)</f>
        <v>3879</v>
      </c>
      <c r="I21" s="56">
        <f>SUM(I17:I20)</f>
        <v>12613.52</v>
      </c>
      <c r="J21" s="52"/>
      <c r="K21" s="49"/>
      <c r="T21" s="71">
        <v>-1479.3000000000002</v>
      </c>
      <c r="U21" s="71">
        <v>-1754.75</v>
      </c>
    </row>
    <row r="22" spans="1:21" s="37" customFormat="1" x14ac:dyDescent="0.25">
      <c r="A22" s="66"/>
      <c r="B22" s="67"/>
      <c r="C22" s="66" t="s">
        <v>101</v>
      </c>
      <c r="D22" s="66"/>
      <c r="E22" s="68">
        <v>179</v>
      </c>
      <c r="F22" s="68">
        <f>F21/10</f>
        <v>307.78200000000004</v>
      </c>
      <c r="G22" s="68">
        <f>(G12/16)+(G15/10)</f>
        <v>148.4375</v>
      </c>
      <c r="H22" s="68">
        <f>139+92</f>
        <v>231</v>
      </c>
      <c r="I22" s="55">
        <f t="shared" si="0"/>
        <v>866.21950000000004</v>
      </c>
      <c r="J22" s="69"/>
      <c r="K22" s="66"/>
      <c r="T22" s="71">
        <v>-101.5625</v>
      </c>
      <c r="U22" s="71">
        <v>-94</v>
      </c>
    </row>
    <row r="23" spans="1:21" ht="5.0999999999999996" customHeight="1" x14ac:dyDescent="0.25">
      <c r="A23" s="42"/>
      <c r="B23" s="46"/>
      <c r="C23" s="42"/>
      <c r="D23" s="42"/>
      <c r="E23" s="55"/>
      <c r="F23" s="55"/>
      <c r="G23" s="55"/>
      <c r="H23" s="55"/>
      <c r="I23" s="55"/>
      <c r="J23" s="48"/>
      <c r="K23" s="42"/>
      <c r="T23" s="71">
        <v>0</v>
      </c>
      <c r="U23" s="71">
        <v>0</v>
      </c>
    </row>
    <row r="24" spans="1:21" x14ac:dyDescent="0.25">
      <c r="A24" s="42"/>
      <c r="B24" s="46"/>
      <c r="C24" s="49" t="s">
        <v>16</v>
      </c>
      <c r="D24" s="42"/>
      <c r="E24" s="55"/>
      <c r="F24" s="55"/>
      <c r="G24" s="55"/>
      <c r="H24" s="55"/>
      <c r="I24" s="55"/>
      <c r="J24" s="48"/>
      <c r="K24" s="42"/>
      <c r="T24" s="71">
        <v>0</v>
      </c>
      <c r="U24" s="71">
        <v>0</v>
      </c>
    </row>
    <row r="25" spans="1:21" x14ac:dyDescent="0.25">
      <c r="A25" s="42"/>
      <c r="B25" s="46"/>
      <c r="C25" s="65" t="s">
        <v>118</v>
      </c>
      <c r="D25" s="42"/>
      <c r="E25" s="55"/>
      <c r="F25" s="55"/>
      <c r="G25" s="55"/>
      <c r="H25" s="55"/>
      <c r="I25" s="55"/>
      <c r="J25" s="48"/>
      <c r="K25" s="42"/>
      <c r="T25" s="71">
        <v>0</v>
      </c>
      <c r="U25" s="71">
        <v>0</v>
      </c>
    </row>
    <row r="26" spans="1:21" x14ac:dyDescent="0.25">
      <c r="A26" s="42"/>
      <c r="B26" s="46"/>
      <c r="C26" s="42" t="s">
        <v>47</v>
      </c>
      <c r="D26" s="42"/>
      <c r="E26" s="55">
        <f>Assumptions!I24</f>
        <v>723.45</v>
      </c>
      <c r="F26" s="55">
        <f>Assumptions!$I$24+84</f>
        <v>807.45</v>
      </c>
      <c r="G26" s="55">
        <f>Assumptions!I24</f>
        <v>723.45</v>
      </c>
      <c r="H26" s="55">
        <f>Assumptions!I24</f>
        <v>723.45</v>
      </c>
      <c r="I26" s="55">
        <f t="shared" ref="I26:I31" si="1">SUM(E26:H26)</f>
        <v>2977.8</v>
      </c>
      <c r="J26" s="48"/>
      <c r="K26" s="42"/>
      <c r="T26" s="71">
        <v>13.779999999999973</v>
      </c>
      <c r="U26" s="71">
        <v>13.779999999999973</v>
      </c>
    </row>
    <row r="27" spans="1:21" x14ac:dyDescent="0.25">
      <c r="A27" s="42"/>
      <c r="B27" s="46"/>
      <c r="C27" s="42" t="s">
        <v>48</v>
      </c>
      <c r="D27" s="42"/>
      <c r="E27" s="55"/>
      <c r="F27" s="55"/>
      <c r="G27" s="55"/>
      <c r="H27" s="55">
        <v>3300</v>
      </c>
      <c r="I27" s="55">
        <f t="shared" si="1"/>
        <v>3300</v>
      </c>
      <c r="J27" s="48"/>
      <c r="K27" s="42"/>
      <c r="L27" t="s">
        <v>165</v>
      </c>
      <c r="T27" s="71">
        <v>0</v>
      </c>
      <c r="U27" s="71">
        <v>-200</v>
      </c>
    </row>
    <row r="28" spans="1:21" x14ac:dyDescent="0.25">
      <c r="A28" s="42"/>
      <c r="B28" s="46"/>
      <c r="C28" s="42" t="s">
        <v>49</v>
      </c>
      <c r="D28" s="42"/>
      <c r="E28" s="55"/>
      <c r="F28" s="55">
        <f>Assumptions!I27</f>
        <v>408.45000000000005</v>
      </c>
      <c r="G28" s="55">
        <f>Assumptions!I27</f>
        <v>408.45000000000005</v>
      </c>
      <c r="H28" s="55"/>
      <c r="I28" s="55">
        <f t="shared" si="1"/>
        <v>816.90000000000009</v>
      </c>
      <c r="J28" s="48"/>
      <c r="K28" s="42"/>
      <c r="T28" s="71">
        <v>7.7800000000000296</v>
      </c>
      <c r="U28" s="71">
        <v>0</v>
      </c>
    </row>
    <row r="29" spans="1:21" x14ac:dyDescent="0.25">
      <c r="A29" s="42"/>
      <c r="B29" s="46"/>
      <c r="C29" s="42" t="s">
        <v>50</v>
      </c>
      <c r="D29" s="42"/>
      <c r="E29" s="55">
        <f>200*4</f>
        <v>800</v>
      </c>
      <c r="F29" s="55"/>
      <c r="G29" s="55">
        <f>800</f>
        <v>800</v>
      </c>
      <c r="H29" s="55">
        <v>700</v>
      </c>
      <c r="I29" s="55">
        <f t="shared" si="1"/>
        <v>2300</v>
      </c>
      <c r="J29" s="48"/>
      <c r="K29" s="42"/>
      <c r="L29" t="s">
        <v>171</v>
      </c>
      <c r="T29" s="71">
        <v>-400</v>
      </c>
      <c r="U29" s="71">
        <v>200</v>
      </c>
    </row>
    <row r="30" spans="1:21" x14ac:dyDescent="0.25">
      <c r="A30" s="42"/>
      <c r="B30" s="46"/>
      <c r="C30" s="42" t="s">
        <v>51</v>
      </c>
      <c r="D30" s="42"/>
      <c r="E30" s="55"/>
      <c r="F30" s="55"/>
      <c r="G30" s="55">
        <v>693</v>
      </c>
      <c r="H30" s="55">
        <f>150*1.2</f>
        <v>180</v>
      </c>
      <c r="I30" s="55">
        <f t="shared" si="1"/>
        <v>873</v>
      </c>
      <c r="J30" s="48"/>
      <c r="K30" s="42"/>
      <c r="L30" t="s">
        <v>164</v>
      </c>
      <c r="T30" s="71">
        <v>293</v>
      </c>
      <c r="U30" s="71">
        <v>180</v>
      </c>
    </row>
    <row r="31" spans="1:21" x14ac:dyDescent="0.25">
      <c r="A31" s="42"/>
      <c r="B31" s="46"/>
      <c r="C31" s="42" t="s">
        <v>52</v>
      </c>
      <c r="D31" s="42"/>
      <c r="E31" s="55">
        <f>325+450</f>
        <v>775</v>
      </c>
      <c r="F31" s="55"/>
      <c r="G31" s="55">
        <v>300</v>
      </c>
      <c r="H31" s="55"/>
      <c r="I31" s="55">
        <f t="shared" si="1"/>
        <v>1075</v>
      </c>
      <c r="J31" s="48"/>
      <c r="K31" s="42"/>
      <c r="L31" t="s">
        <v>161</v>
      </c>
      <c r="T31" s="71">
        <v>-100</v>
      </c>
      <c r="U31" s="71">
        <v>0</v>
      </c>
    </row>
    <row r="32" spans="1:21" x14ac:dyDescent="0.25">
      <c r="A32" s="42"/>
      <c r="B32" s="46"/>
      <c r="C32" s="65" t="s">
        <v>53</v>
      </c>
      <c r="D32" s="42"/>
      <c r="E32" s="55"/>
      <c r="F32" s="55"/>
      <c r="G32" s="55"/>
      <c r="H32" s="55"/>
      <c r="I32" s="55"/>
      <c r="J32" s="48"/>
      <c r="K32" s="42"/>
      <c r="T32" s="71">
        <v>0</v>
      </c>
      <c r="U32" s="71">
        <v>0</v>
      </c>
    </row>
    <row r="33" spans="1:21" x14ac:dyDescent="0.25">
      <c r="A33" s="42"/>
      <c r="B33" s="46"/>
      <c r="C33" s="42" t="s">
        <v>54</v>
      </c>
      <c r="D33" s="42"/>
      <c r="E33" s="55">
        <v>540</v>
      </c>
      <c r="F33" s="55">
        <f>Assumptions!I43</f>
        <v>540</v>
      </c>
      <c r="G33" s="55">
        <v>495</v>
      </c>
      <c r="H33" s="55">
        <v>2014</v>
      </c>
      <c r="I33" s="55">
        <f>SUM(E33:H33)</f>
        <v>3589</v>
      </c>
      <c r="J33" s="48"/>
      <c r="K33" s="42"/>
      <c r="L33" t="s">
        <v>170</v>
      </c>
      <c r="T33" s="71">
        <v>120</v>
      </c>
      <c r="U33" s="71">
        <v>514</v>
      </c>
    </row>
    <row r="34" spans="1:21" x14ac:dyDescent="0.25">
      <c r="A34" s="42"/>
      <c r="B34" s="46"/>
      <c r="C34" s="42" t="s">
        <v>55</v>
      </c>
      <c r="D34" s="42"/>
      <c r="E34" s="55">
        <v>268</v>
      </c>
      <c r="F34" s="55">
        <v>318</v>
      </c>
      <c r="G34" s="55">
        <v>85</v>
      </c>
      <c r="H34" s="55">
        <v>122</v>
      </c>
      <c r="I34" s="55">
        <f>SUM(E34:H34)</f>
        <v>793</v>
      </c>
      <c r="J34" s="48"/>
      <c r="K34" s="42"/>
      <c r="L34" t="s">
        <v>169</v>
      </c>
      <c r="T34" s="71">
        <v>-115</v>
      </c>
      <c r="U34" s="71">
        <v>-78</v>
      </c>
    </row>
    <row r="35" spans="1:21" x14ac:dyDescent="0.25">
      <c r="A35" s="42"/>
      <c r="B35" s="46"/>
      <c r="C35" s="42" t="s">
        <v>56</v>
      </c>
      <c r="D35" s="42"/>
      <c r="E35" s="55"/>
      <c r="F35" s="55"/>
      <c r="G35" s="55"/>
      <c r="H35" s="55"/>
      <c r="I35" s="55">
        <f>SUM(E35:H35)</f>
        <v>0</v>
      </c>
      <c r="J35" s="48"/>
      <c r="K35" s="42"/>
      <c r="T35" s="71">
        <v>-200</v>
      </c>
      <c r="U35" s="71">
        <v>-200</v>
      </c>
    </row>
    <row r="36" spans="1:21" x14ac:dyDescent="0.25">
      <c r="A36" s="42"/>
      <c r="B36" s="46"/>
      <c r="C36" s="42" t="s">
        <v>57</v>
      </c>
      <c r="D36" s="42"/>
      <c r="E36" s="55"/>
      <c r="F36" s="55">
        <v>65</v>
      </c>
      <c r="G36" s="55"/>
      <c r="H36" s="55"/>
      <c r="I36" s="55">
        <f>SUM(E36:H36)</f>
        <v>65</v>
      </c>
      <c r="J36" s="48"/>
      <c r="K36" s="42"/>
      <c r="T36" s="71">
        <v>0</v>
      </c>
      <c r="U36" s="71">
        <v>0</v>
      </c>
    </row>
    <row r="37" spans="1:21" x14ac:dyDescent="0.25">
      <c r="A37" s="42"/>
      <c r="B37" s="46"/>
      <c r="C37" s="65" t="s">
        <v>58</v>
      </c>
      <c r="D37" s="42"/>
      <c r="E37" s="55"/>
      <c r="F37" s="55"/>
      <c r="G37" s="55"/>
      <c r="H37" s="55"/>
      <c r="I37" s="55"/>
      <c r="J37" s="48"/>
      <c r="K37" s="42"/>
      <c r="T37" s="71">
        <v>0</v>
      </c>
      <c r="U37" s="71">
        <v>0</v>
      </c>
    </row>
    <row r="38" spans="1:21" x14ac:dyDescent="0.25">
      <c r="A38" s="42"/>
      <c r="B38" s="46"/>
      <c r="C38" s="42" t="s">
        <v>43</v>
      </c>
      <c r="D38" s="42"/>
      <c r="E38" s="55">
        <v>70</v>
      </c>
      <c r="F38" s="55">
        <v>70</v>
      </c>
      <c r="G38" s="55">
        <v>81</v>
      </c>
      <c r="H38" s="55"/>
      <c r="I38" s="55">
        <f>SUM(E38:H38)</f>
        <v>221</v>
      </c>
      <c r="J38" s="48"/>
      <c r="K38" s="42"/>
      <c r="T38" s="71">
        <v>21</v>
      </c>
      <c r="U38" s="71">
        <v>0</v>
      </c>
    </row>
    <row r="39" spans="1:21" x14ac:dyDescent="0.25">
      <c r="A39" s="42"/>
      <c r="B39" s="46"/>
      <c r="C39" s="42" t="s">
        <v>30</v>
      </c>
      <c r="D39" s="42"/>
      <c r="E39" s="55">
        <v>57</v>
      </c>
      <c r="F39" s="55">
        <v>8</v>
      </c>
      <c r="G39" s="55">
        <v>5</v>
      </c>
      <c r="H39" s="55">
        <v>14</v>
      </c>
      <c r="I39" s="55">
        <f>SUM(E39:H39)</f>
        <v>84</v>
      </c>
      <c r="J39" s="48"/>
      <c r="K39" s="42"/>
      <c r="T39" s="71">
        <v>-35</v>
      </c>
      <c r="U39" s="71">
        <v>-26</v>
      </c>
    </row>
    <row r="40" spans="1:21" x14ac:dyDescent="0.25">
      <c r="A40" s="42"/>
      <c r="B40" s="46"/>
      <c r="C40" s="42" t="s">
        <v>119</v>
      </c>
      <c r="D40" s="42"/>
      <c r="E40" s="55">
        <v>186</v>
      </c>
      <c r="F40" s="55">
        <v>189</v>
      </c>
      <c r="G40" s="55">
        <v>170</v>
      </c>
      <c r="H40" s="55">
        <v>256</v>
      </c>
      <c r="I40" s="55">
        <f>SUM(E40:H40)</f>
        <v>801</v>
      </c>
      <c r="J40" s="48"/>
      <c r="K40" s="42"/>
      <c r="T40" s="71">
        <v>-80</v>
      </c>
      <c r="U40" s="71">
        <v>6</v>
      </c>
    </row>
    <row r="41" spans="1:21" x14ac:dyDescent="0.25">
      <c r="A41" s="42"/>
      <c r="B41" s="46"/>
      <c r="C41" s="42" t="s">
        <v>60</v>
      </c>
      <c r="D41" s="42"/>
      <c r="E41" s="55">
        <v>175</v>
      </c>
      <c r="F41" s="55">
        <v>124</v>
      </c>
      <c r="G41" s="55">
        <v>155</v>
      </c>
      <c r="H41" s="55">
        <v>155</v>
      </c>
      <c r="I41" s="55">
        <f>SUM(E41:H41)</f>
        <v>609</v>
      </c>
      <c r="J41" s="48"/>
      <c r="K41" s="42"/>
      <c r="T41" s="71">
        <v>5</v>
      </c>
      <c r="U41" s="71">
        <v>5</v>
      </c>
    </row>
    <row r="42" spans="1:21" x14ac:dyDescent="0.25">
      <c r="A42" s="42"/>
      <c r="B42" s="46"/>
      <c r="C42" s="65" t="s">
        <v>120</v>
      </c>
      <c r="D42" s="42"/>
      <c r="E42" s="55"/>
      <c r="F42" s="55"/>
      <c r="G42" s="55"/>
      <c r="H42" s="55"/>
      <c r="I42" s="55"/>
      <c r="J42" s="48"/>
      <c r="K42" s="42"/>
      <c r="T42" s="71">
        <v>0</v>
      </c>
      <c r="U42" s="71">
        <v>0</v>
      </c>
    </row>
    <row r="43" spans="1:21" x14ac:dyDescent="0.25">
      <c r="A43" s="42"/>
      <c r="B43" s="46"/>
      <c r="C43" s="42" t="s">
        <v>45</v>
      </c>
      <c r="D43" s="42"/>
      <c r="E43" s="55"/>
      <c r="F43" s="55">
        <v>197</v>
      </c>
      <c r="G43" s="55"/>
      <c r="H43" s="55"/>
      <c r="I43" s="55">
        <f>SUM(E43:H43)</f>
        <v>197</v>
      </c>
      <c r="J43" s="48"/>
      <c r="K43" s="42"/>
      <c r="T43" s="71">
        <v>0</v>
      </c>
      <c r="U43" s="71">
        <v>0</v>
      </c>
    </row>
    <row r="44" spans="1:21" x14ac:dyDescent="0.25">
      <c r="A44" s="42"/>
      <c r="B44" s="46"/>
      <c r="C44" s="42" t="s">
        <v>64</v>
      </c>
      <c r="D44" s="42"/>
      <c r="E44" s="55"/>
      <c r="F44" s="55"/>
      <c r="G44" s="55"/>
      <c r="H44" s="55"/>
      <c r="I44" s="55">
        <f>SUM(E44:H44)</f>
        <v>0</v>
      </c>
      <c r="J44" s="48"/>
      <c r="K44" s="42"/>
      <c r="T44" s="71">
        <v>-40</v>
      </c>
      <c r="U44" s="71">
        <v>-30</v>
      </c>
    </row>
    <row r="45" spans="1:21" x14ac:dyDescent="0.25">
      <c r="A45" s="42"/>
      <c r="B45" s="46"/>
      <c r="C45" s="42" t="s">
        <v>65</v>
      </c>
      <c r="D45" s="42"/>
      <c r="E45" s="55">
        <f>66.23</f>
        <v>66.23</v>
      </c>
      <c r="F45" s="55">
        <v>108</v>
      </c>
      <c r="G45" s="55">
        <v>50</v>
      </c>
      <c r="H45" s="55">
        <v>165</v>
      </c>
      <c r="I45" s="55">
        <f>SUM(E45:H45)</f>
        <v>389.23</v>
      </c>
      <c r="J45" s="48"/>
      <c r="K45" s="42"/>
      <c r="T45" s="71">
        <v>-100</v>
      </c>
      <c r="U45" s="71">
        <v>165</v>
      </c>
    </row>
    <row r="46" spans="1:21" x14ac:dyDescent="0.25">
      <c r="A46" s="42"/>
      <c r="B46" s="46"/>
      <c r="C46" s="42" t="s">
        <v>144</v>
      </c>
      <c r="D46" s="42"/>
      <c r="E46" s="55">
        <v>40</v>
      </c>
      <c r="F46" s="55">
        <v>0</v>
      </c>
      <c r="G46" s="55"/>
      <c r="H46" s="55">
        <f>419-248-16</f>
        <v>155</v>
      </c>
      <c r="I46" s="55">
        <f>SUM(E46:H46)</f>
        <v>195</v>
      </c>
      <c r="J46" s="48"/>
      <c r="K46" s="42"/>
      <c r="L46" t="s">
        <v>204</v>
      </c>
      <c r="T46" s="71">
        <v>-150</v>
      </c>
      <c r="U46" s="71">
        <v>-45</v>
      </c>
    </row>
    <row r="47" spans="1:21" ht="15.75" x14ac:dyDescent="0.25">
      <c r="A47" s="42"/>
      <c r="B47" s="46"/>
      <c r="C47" s="53" t="s">
        <v>16</v>
      </c>
      <c r="D47" s="42"/>
      <c r="E47" s="56">
        <f>SUM(E26:E46)</f>
        <v>3700.68</v>
      </c>
      <c r="F47" s="56">
        <f>SUM(F26:F46)</f>
        <v>2834.9</v>
      </c>
      <c r="G47" s="56">
        <f>SUM(G26:G46)</f>
        <v>3965.9</v>
      </c>
      <c r="H47" s="56">
        <f>SUM(H26:H46)</f>
        <v>7784.45</v>
      </c>
      <c r="I47" s="56">
        <f>SUM(I26:I46)</f>
        <v>18285.93</v>
      </c>
      <c r="J47" s="48"/>
      <c r="K47" s="42"/>
      <c r="T47" s="71">
        <v>-759.44</v>
      </c>
      <c r="U47" s="71">
        <v>504.77999999999975</v>
      </c>
    </row>
    <row r="48" spans="1:21" ht="5.0999999999999996" customHeight="1" x14ac:dyDescent="0.25">
      <c r="A48" s="42"/>
      <c r="B48" s="46"/>
      <c r="C48" s="42"/>
      <c r="D48" s="42"/>
      <c r="E48" s="55"/>
      <c r="F48" s="55"/>
      <c r="G48" s="55"/>
      <c r="H48" s="55"/>
      <c r="I48" s="55"/>
      <c r="J48" s="48"/>
      <c r="K48" s="42"/>
      <c r="T48" s="71">
        <v>0</v>
      </c>
      <c r="U48" s="71">
        <v>0</v>
      </c>
    </row>
    <row r="49" spans="1:21" ht="15.75" x14ac:dyDescent="0.25">
      <c r="A49" s="42"/>
      <c r="B49" s="46"/>
      <c r="C49" s="53" t="s">
        <v>121</v>
      </c>
      <c r="D49" s="42"/>
      <c r="E49" s="56">
        <f>E21-E47</f>
        <v>-589.67999999999984</v>
      </c>
      <c r="F49" s="56">
        <f>F21-F47</f>
        <v>242.92000000000007</v>
      </c>
      <c r="G49" s="56">
        <f>G21-G47</f>
        <v>-1420.2000000000003</v>
      </c>
      <c r="H49" s="56">
        <f>H21-H47</f>
        <v>-3905.45</v>
      </c>
      <c r="I49" s="56">
        <f>I21-I47</f>
        <v>-5672.41</v>
      </c>
      <c r="J49" s="48"/>
      <c r="K49" s="42"/>
      <c r="T49" s="71">
        <v>-719.86000000000013</v>
      </c>
      <c r="U49" s="71">
        <v>-2259.5299999999997</v>
      </c>
    </row>
    <row r="50" spans="1:21" ht="6" customHeight="1" thickBot="1" x14ac:dyDescent="0.3">
      <c r="A50" s="42"/>
      <c r="B50" s="57"/>
      <c r="C50" s="58"/>
      <c r="D50" s="58"/>
      <c r="E50" s="58"/>
      <c r="F50" s="58"/>
      <c r="G50" s="58"/>
      <c r="H50" s="58"/>
      <c r="I50" s="58"/>
      <c r="J50" s="59"/>
      <c r="K50" s="42"/>
    </row>
    <row r="51" spans="1:21" ht="5.0999999999999996" customHeight="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3" spans="1:21" x14ac:dyDescent="0.25">
      <c r="C53" s="42"/>
      <c r="D53" s="42"/>
      <c r="E53" s="51" t="s">
        <v>68</v>
      </c>
      <c r="F53" s="51" t="s">
        <v>130</v>
      </c>
      <c r="G53" s="51" t="s">
        <v>69</v>
      </c>
      <c r="H53" s="51" t="s">
        <v>70</v>
      </c>
      <c r="I53" s="51" t="s">
        <v>136</v>
      </c>
    </row>
    <row r="54" spans="1:21" x14ac:dyDescent="0.25">
      <c r="C54" s="42" t="s">
        <v>80</v>
      </c>
      <c r="D54" s="42"/>
      <c r="E54" s="55">
        <f>E22</f>
        <v>179</v>
      </c>
      <c r="F54" s="55">
        <f t="shared" ref="F54:H54" si="2">F22</f>
        <v>307.78200000000004</v>
      </c>
      <c r="G54" s="55">
        <f t="shared" si="2"/>
        <v>148.4375</v>
      </c>
      <c r="H54" s="55">
        <f t="shared" si="2"/>
        <v>231</v>
      </c>
    </row>
    <row r="55" spans="1:21" x14ac:dyDescent="0.25">
      <c r="C55" s="42" t="s">
        <v>119</v>
      </c>
      <c r="D55" s="42"/>
      <c r="E55" s="55">
        <f>E40</f>
        <v>186</v>
      </c>
      <c r="F55" s="55">
        <f t="shared" ref="F55:H55" si="3">F40</f>
        <v>189</v>
      </c>
      <c r="G55" s="55">
        <f t="shared" si="3"/>
        <v>170</v>
      </c>
      <c r="H55" s="55">
        <f t="shared" si="3"/>
        <v>256</v>
      </c>
    </row>
    <row r="56" spans="1:21" x14ac:dyDescent="0.25">
      <c r="C56" s="42" t="s">
        <v>60</v>
      </c>
      <c r="D56" s="42"/>
      <c r="E56" s="55">
        <f>E41</f>
        <v>175</v>
      </c>
      <c r="F56" s="55">
        <f t="shared" ref="F56:H56" si="4">F41</f>
        <v>124</v>
      </c>
      <c r="G56" s="55">
        <f t="shared" si="4"/>
        <v>155</v>
      </c>
      <c r="H56" s="55">
        <f t="shared" si="4"/>
        <v>155</v>
      </c>
    </row>
    <row r="58" spans="1:21" x14ac:dyDescent="0.25">
      <c r="C58" s="42"/>
      <c r="D58" s="42"/>
      <c r="E58" s="42"/>
    </row>
    <row r="59" spans="1:21" x14ac:dyDescent="0.25">
      <c r="C59" s="42" t="s">
        <v>188</v>
      </c>
      <c r="D59" s="42"/>
      <c r="E59" s="42"/>
    </row>
    <row r="60" spans="1:21" x14ac:dyDescent="0.25">
      <c r="C60" s="42" t="s">
        <v>189</v>
      </c>
      <c r="D60" s="42"/>
      <c r="E60" s="42">
        <v>96</v>
      </c>
    </row>
    <row r="61" spans="1:21" x14ac:dyDescent="0.25">
      <c r="C61" s="42" t="s">
        <v>190</v>
      </c>
      <c r="D61" s="42"/>
      <c r="E61" s="42">
        <v>182</v>
      </c>
    </row>
    <row r="62" spans="1:21" x14ac:dyDescent="0.25">
      <c r="C62" s="42" t="s">
        <v>191</v>
      </c>
      <c r="D62" s="42"/>
      <c r="E62" s="42">
        <v>189</v>
      </c>
    </row>
    <row r="63" spans="1:21" x14ac:dyDescent="0.25">
      <c r="C63" s="42" t="s">
        <v>192</v>
      </c>
      <c r="D63" s="42"/>
      <c r="E63" s="42">
        <v>195</v>
      </c>
    </row>
    <row r="64" spans="1:21" x14ac:dyDescent="0.25">
      <c r="C64" s="42" t="s">
        <v>193</v>
      </c>
      <c r="D64" s="42"/>
      <c r="E64" s="42">
        <v>12</v>
      </c>
    </row>
    <row r="65" spans="3:5" x14ac:dyDescent="0.25">
      <c r="C65" s="42"/>
      <c r="D65" s="42"/>
      <c r="E65" s="42"/>
    </row>
    <row r="66" spans="3:5" x14ac:dyDescent="0.25">
      <c r="C66" s="42" t="s">
        <v>196</v>
      </c>
      <c r="D66" s="42"/>
      <c r="E66" s="42"/>
    </row>
    <row r="67" spans="3:5" x14ac:dyDescent="0.25">
      <c r="C67" s="42" t="s">
        <v>189</v>
      </c>
      <c r="D67" s="42"/>
      <c r="E67" s="42">
        <f>216-96</f>
        <v>120</v>
      </c>
    </row>
    <row r="68" spans="3:5" x14ac:dyDescent="0.25">
      <c r="C68" s="42" t="s">
        <v>194</v>
      </c>
      <c r="D68" s="42"/>
      <c r="E68" s="42">
        <v>250</v>
      </c>
    </row>
    <row r="69" spans="3:5" x14ac:dyDescent="0.25">
      <c r="C69" s="42" t="s">
        <v>195</v>
      </c>
      <c r="D69" s="42"/>
      <c r="E69" s="42">
        <v>250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52"/>
  <sheetViews>
    <sheetView topLeftCell="A23" workbookViewId="0">
      <selection activeCell="H41" sqref="H41"/>
    </sheetView>
  </sheetViews>
  <sheetFormatPr defaultColWidth="8.7109375" defaultRowHeight="15" x14ac:dyDescent="0.25"/>
  <cols>
    <col min="1" max="2" width="1.5703125" customWidth="1"/>
    <col min="3" max="3" width="28.42578125" customWidth="1"/>
    <col min="4" max="4" width="1.5703125" customWidth="1"/>
    <col min="5" max="9" width="10.5703125" customWidth="1"/>
    <col min="10" max="11" width="1.5703125" customWidth="1"/>
    <col min="12" max="12" width="12" customWidth="1"/>
  </cols>
  <sheetData>
    <row r="1" spans="1:11" ht="5.0999999999999996" customHeight="1" thickBot="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5.0999999999999996" customHeight="1" x14ac:dyDescent="0.25">
      <c r="A2" s="42"/>
      <c r="B2" s="43"/>
      <c r="C2" s="44"/>
      <c r="D2" s="44"/>
      <c r="E2" s="44"/>
      <c r="F2" s="44"/>
      <c r="G2" s="44"/>
      <c r="H2" s="44"/>
      <c r="I2" s="44"/>
      <c r="J2" s="45"/>
      <c r="K2" s="42"/>
    </row>
    <row r="3" spans="1:11" ht="18.75" x14ac:dyDescent="0.3">
      <c r="A3" s="42"/>
      <c r="B3" s="46"/>
      <c r="C3" s="47" t="s">
        <v>0</v>
      </c>
      <c r="D3" s="42"/>
      <c r="E3" s="42"/>
      <c r="F3" s="42"/>
      <c r="G3" s="42"/>
      <c r="H3" s="42"/>
      <c r="I3" s="42"/>
      <c r="J3" s="48"/>
      <c r="K3" s="42"/>
    </row>
    <row r="4" spans="1:11" ht="18.75" x14ac:dyDescent="0.3">
      <c r="A4" s="42"/>
      <c r="B4" s="46"/>
      <c r="C4" s="47" t="s">
        <v>83</v>
      </c>
      <c r="D4" s="42"/>
      <c r="E4" s="42"/>
      <c r="F4" s="42"/>
      <c r="G4" s="42"/>
      <c r="H4" s="42"/>
      <c r="I4" s="42"/>
      <c r="J4" s="48"/>
      <c r="K4" s="42"/>
    </row>
    <row r="5" spans="1:11" ht="18.75" x14ac:dyDescent="0.3">
      <c r="A5" s="42"/>
      <c r="B5" s="46"/>
      <c r="C5" s="47" t="s">
        <v>4</v>
      </c>
      <c r="D5" s="42"/>
      <c r="E5" s="42"/>
      <c r="F5" s="42"/>
      <c r="G5" s="42"/>
      <c r="H5" s="42"/>
      <c r="I5" s="42"/>
      <c r="J5" s="48"/>
      <c r="K5" s="42"/>
    </row>
    <row r="6" spans="1:11" ht="5.0999999999999996" customHeight="1" x14ac:dyDescent="0.25">
      <c r="A6" s="42"/>
      <c r="B6" s="46"/>
      <c r="C6" s="42"/>
      <c r="D6" s="42"/>
      <c r="E6" s="42"/>
      <c r="F6" s="42"/>
      <c r="G6" s="42"/>
      <c r="H6" s="42"/>
      <c r="I6" s="42"/>
      <c r="J6" s="48"/>
      <c r="K6" s="42"/>
    </row>
    <row r="7" spans="1:11" s="7" customFormat="1" ht="14.45" customHeight="1" x14ac:dyDescent="0.3">
      <c r="A7" s="49"/>
      <c r="B7" s="50"/>
      <c r="C7" s="47"/>
      <c r="D7" s="49"/>
      <c r="E7" s="51" t="s">
        <v>68</v>
      </c>
      <c r="F7" s="51" t="s">
        <v>130</v>
      </c>
      <c r="G7" s="51" t="s">
        <v>69</v>
      </c>
      <c r="H7" s="51" t="s">
        <v>70</v>
      </c>
      <c r="I7" s="51" t="s">
        <v>100</v>
      </c>
      <c r="J7" s="52"/>
      <c r="K7" s="49"/>
    </row>
    <row r="8" spans="1:11" s="7" customFormat="1" ht="14.45" customHeight="1" x14ac:dyDescent="0.3">
      <c r="A8" s="49"/>
      <c r="B8" s="50"/>
      <c r="C8" s="47"/>
      <c r="D8" s="49"/>
      <c r="E8" s="51" t="s">
        <v>137</v>
      </c>
      <c r="F8" s="51" t="s">
        <v>137</v>
      </c>
      <c r="G8" s="51" t="s">
        <v>198</v>
      </c>
      <c r="H8" s="51" t="s">
        <v>197</v>
      </c>
      <c r="I8" s="51"/>
      <c r="J8" s="52"/>
      <c r="K8" s="49"/>
    </row>
    <row r="9" spans="1:11" ht="5.0999999999999996" customHeight="1" x14ac:dyDescent="0.25">
      <c r="A9" s="42"/>
      <c r="B9" s="46"/>
      <c r="C9" s="42"/>
      <c r="D9" s="42"/>
      <c r="E9" s="42"/>
      <c r="F9" s="42"/>
      <c r="G9" s="42"/>
      <c r="H9" s="42"/>
      <c r="I9" s="42"/>
      <c r="J9" s="48"/>
      <c r="K9" s="42"/>
    </row>
    <row r="10" spans="1:11" ht="15.75" x14ac:dyDescent="0.25">
      <c r="A10" s="42"/>
      <c r="B10" s="46"/>
      <c r="C10" s="53" t="s">
        <v>42</v>
      </c>
      <c r="D10" s="42"/>
      <c r="E10" s="54"/>
      <c r="F10" s="54"/>
      <c r="G10" s="42"/>
      <c r="H10" s="42"/>
      <c r="I10" s="42"/>
      <c r="J10" s="48"/>
      <c r="K10" s="42"/>
    </row>
    <row r="11" spans="1:11" x14ac:dyDescent="0.25">
      <c r="A11" s="42"/>
      <c r="B11" s="46"/>
      <c r="C11" s="42" t="s">
        <v>99</v>
      </c>
      <c r="D11" s="42"/>
      <c r="E11" s="55">
        <v>2187</v>
      </c>
      <c r="F11" s="55">
        <v>2079</v>
      </c>
      <c r="G11" s="55">
        <v>2607</v>
      </c>
      <c r="H11" s="55">
        <f>H22*0.7*Assumptions!J39</f>
        <v>5040</v>
      </c>
      <c r="I11" s="55">
        <f>SUM(E11:H11)</f>
        <v>11913</v>
      </c>
      <c r="J11" s="48"/>
      <c r="K11" s="42"/>
    </row>
    <row r="12" spans="1:11" x14ac:dyDescent="0.25">
      <c r="A12" s="42"/>
      <c r="B12" s="46"/>
      <c r="C12" s="42" t="s">
        <v>115</v>
      </c>
      <c r="D12" s="42"/>
      <c r="E12" s="55">
        <v>30</v>
      </c>
      <c r="F12" s="55">
        <v>1561</v>
      </c>
      <c r="G12" s="55">
        <v>99</v>
      </c>
      <c r="H12" s="55">
        <f>H22*0.3*[2]Assumptions!J40</f>
        <v>1920</v>
      </c>
      <c r="I12" s="55">
        <f>SUM(E12:H12)</f>
        <v>3610</v>
      </c>
      <c r="J12" s="48"/>
      <c r="K12" s="42"/>
    </row>
    <row r="13" spans="1:11" x14ac:dyDescent="0.25">
      <c r="A13" s="42"/>
      <c r="B13" s="46"/>
      <c r="C13" s="42" t="s">
        <v>116</v>
      </c>
      <c r="D13" s="42"/>
      <c r="E13" s="55"/>
      <c r="F13" s="55">
        <v>0</v>
      </c>
      <c r="G13" s="55"/>
      <c r="H13" s="55"/>
      <c r="I13" s="55">
        <f t="shared" ref="I13:I15" si="0">SUM(E13:H13)</f>
        <v>0</v>
      </c>
      <c r="J13" s="48"/>
      <c r="K13" s="42"/>
    </row>
    <row r="14" spans="1:11" x14ac:dyDescent="0.25">
      <c r="A14" s="42"/>
      <c r="B14" s="46"/>
      <c r="C14" s="42" t="s">
        <v>117</v>
      </c>
      <c r="D14" s="42"/>
      <c r="E14" s="55"/>
      <c r="F14" s="55">
        <v>0</v>
      </c>
      <c r="G14" s="55"/>
      <c r="H14" s="55"/>
      <c r="I14" s="55">
        <f t="shared" si="0"/>
        <v>0</v>
      </c>
      <c r="J14" s="48"/>
      <c r="K14" s="42"/>
    </row>
    <row r="15" spans="1:11" x14ac:dyDescent="0.25">
      <c r="A15" s="42"/>
      <c r="B15" s="46"/>
      <c r="C15" s="42" t="s">
        <v>40</v>
      </c>
      <c r="D15" s="42"/>
      <c r="E15" s="55"/>
      <c r="F15" s="55">
        <v>0</v>
      </c>
      <c r="G15" s="55"/>
      <c r="H15" s="55"/>
      <c r="I15" s="55">
        <f t="shared" si="0"/>
        <v>0</v>
      </c>
      <c r="J15" s="48"/>
      <c r="K15" s="42"/>
    </row>
    <row r="16" spans="1:11" x14ac:dyDescent="0.25">
      <c r="A16" s="42"/>
      <c r="B16" s="46"/>
      <c r="C16" s="42" t="s">
        <v>139</v>
      </c>
      <c r="D16" s="42"/>
      <c r="E16" s="55"/>
      <c r="F16" s="55"/>
      <c r="G16" s="55"/>
      <c r="H16" s="55"/>
      <c r="I16" s="55"/>
      <c r="J16" s="48"/>
      <c r="K16" s="42"/>
    </row>
    <row r="17" spans="1:12" x14ac:dyDescent="0.25">
      <c r="A17" s="42"/>
      <c r="B17" s="46"/>
      <c r="C17" s="42" t="s">
        <v>100</v>
      </c>
      <c r="D17" s="42"/>
      <c r="E17" s="55">
        <f>SUM(E11:E16)</f>
        <v>2217</v>
      </c>
      <c r="F17" s="55">
        <f t="shared" ref="F17:H17" si="1">SUM(F11:F16)</f>
        <v>3640</v>
      </c>
      <c r="G17" s="55">
        <f t="shared" si="1"/>
        <v>2706</v>
      </c>
      <c r="H17" s="55">
        <f t="shared" si="1"/>
        <v>6960</v>
      </c>
      <c r="I17" s="55">
        <f>SUM(E17:H17)</f>
        <v>15523</v>
      </c>
      <c r="J17" s="48"/>
      <c r="K17" s="42"/>
    </row>
    <row r="18" spans="1:12" x14ac:dyDescent="0.25">
      <c r="A18" s="42"/>
      <c r="B18" s="46"/>
      <c r="C18" s="42" t="s">
        <v>44</v>
      </c>
      <c r="D18" s="42"/>
      <c r="E18" s="55">
        <v>126</v>
      </c>
      <c r="F18" s="55">
        <v>148</v>
      </c>
      <c r="G18" s="55">
        <v>125</v>
      </c>
      <c r="H18" s="55">
        <v>200</v>
      </c>
      <c r="I18" s="55">
        <f>SUM(E18:H18)</f>
        <v>599</v>
      </c>
      <c r="J18" s="48"/>
      <c r="K18" s="42"/>
    </row>
    <row r="19" spans="1:12" x14ac:dyDescent="0.25">
      <c r="A19" s="42"/>
      <c r="B19" s="46"/>
      <c r="C19" s="42" t="s">
        <v>45</v>
      </c>
      <c r="D19" s="42"/>
      <c r="E19" s="55">
        <v>50.8</v>
      </c>
      <c r="F19" s="55"/>
      <c r="G19" s="55">
        <v>124</v>
      </c>
      <c r="H19" s="55"/>
      <c r="I19" s="55">
        <f>SUM(E19:H19)</f>
        <v>174.8</v>
      </c>
      <c r="J19" s="48"/>
      <c r="K19" s="42"/>
    </row>
    <row r="20" spans="1:12" x14ac:dyDescent="0.25">
      <c r="A20" s="42"/>
      <c r="B20" s="46"/>
      <c r="C20" s="42" t="s">
        <v>102</v>
      </c>
      <c r="D20" s="42"/>
      <c r="E20" s="55">
        <v>125</v>
      </c>
      <c r="F20" s="55">
        <v>125</v>
      </c>
      <c r="G20" s="55">
        <v>252</v>
      </c>
      <c r="H20" s="55">
        <v>50</v>
      </c>
      <c r="I20" s="55">
        <f>SUM(E20:H20)</f>
        <v>552</v>
      </c>
      <c r="J20" s="48"/>
      <c r="K20" s="42"/>
    </row>
    <row r="21" spans="1:12" s="7" customFormat="1" x14ac:dyDescent="0.25">
      <c r="A21" s="49"/>
      <c r="B21" s="50"/>
      <c r="C21" s="49" t="s">
        <v>82</v>
      </c>
      <c r="D21" s="49"/>
      <c r="E21" s="56">
        <f>SUM(E17:E20)</f>
        <v>2518.8000000000002</v>
      </c>
      <c r="F21" s="56">
        <f t="shared" ref="F21:H21" si="2">SUM(F17:F20)</f>
        <v>3913</v>
      </c>
      <c r="G21" s="56">
        <f t="shared" si="2"/>
        <v>3207</v>
      </c>
      <c r="H21" s="56">
        <f t="shared" si="2"/>
        <v>7210</v>
      </c>
      <c r="I21" s="56">
        <f>SUM(E21:H21)</f>
        <v>16848.8</v>
      </c>
      <c r="J21" s="52"/>
      <c r="K21" s="49"/>
    </row>
    <row r="22" spans="1:12" s="37" customFormat="1" x14ac:dyDescent="0.25">
      <c r="A22" s="66"/>
      <c r="B22" s="67"/>
      <c r="C22" s="66" t="s">
        <v>101</v>
      </c>
      <c r="D22" s="66"/>
      <c r="E22" s="68">
        <v>144</v>
      </c>
      <c r="F22" s="68">
        <v>330</v>
      </c>
      <c r="G22" s="68">
        <v>150</v>
      </c>
      <c r="H22" s="68">
        <v>400</v>
      </c>
      <c r="I22" s="55"/>
      <c r="J22" s="69"/>
      <c r="K22" s="66"/>
    </row>
    <row r="23" spans="1:12" ht="5.0999999999999996" customHeight="1" x14ac:dyDescent="0.25">
      <c r="A23" s="42"/>
      <c r="B23" s="46"/>
      <c r="C23" s="42"/>
      <c r="D23" s="42"/>
      <c r="E23" s="55"/>
      <c r="F23" s="55"/>
      <c r="G23" s="55"/>
      <c r="H23" s="55"/>
      <c r="I23" s="55"/>
      <c r="J23" s="48"/>
      <c r="K23" s="42"/>
    </row>
    <row r="24" spans="1:12" x14ac:dyDescent="0.25">
      <c r="A24" s="42"/>
      <c r="B24" s="46"/>
      <c r="C24" s="49" t="s">
        <v>16</v>
      </c>
      <c r="D24" s="42"/>
      <c r="E24" s="55"/>
      <c r="F24" s="55"/>
      <c r="G24" s="55"/>
      <c r="H24" s="55"/>
      <c r="I24" s="55"/>
      <c r="J24" s="48"/>
      <c r="K24" s="42"/>
    </row>
    <row r="25" spans="1:12" x14ac:dyDescent="0.25">
      <c r="A25" s="42"/>
      <c r="B25" s="46"/>
      <c r="C25" s="65" t="s">
        <v>118</v>
      </c>
      <c r="D25" s="42"/>
      <c r="E25" s="55"/>
      <c r="F25" s="55"/>
      <c r="G25" s="55"/>
      <c r="H25" s="55"/>
      <c r="I25" s="55"/>
      <c r="J25" s="48"/>
      <c r="K25" s="42"/>
    </row>
    <row r="26" spans="1:12" x14ac:dyDescent="0.25">
      <c r="A26" s="42"/>
      <c r="B26" s="46"/>
      <c r="C26" s="42" t="s">
        <v>47</v>
      </c>
      <c r="D26" s="42"/>
      <c r="E26" s="55">
        <f>Assumptions!J24</f>
        <v>759.62250000000006</v>
      </c>
      <c r="F26" s="55">
        <f>Assumptions!J24+87</f>
        <v>846.62250000000006</v>
      </c>
      <c r="G26" s="55">
        <f>Assumptions!J24</f>
        <v>759.62250000000006</v>
      </c>
      <c r="H26" s="55">
        <f>Assumptions!J24</f>
        <v>759.62250000000006</v>
      </c>
      <c r="I26" s="55">
        <f t="shared" ref="I26:I31" si="3">SUM(E26:H26)</f>
        <v>3125.4900000000002</v>
      </c>
      <c r="J26" s="48"/>
      <c r="K26" s="42"/>
    </row>
    <row r="27" spans="1:12" x14ac:dyDescent="0.25">
      <c r="A27" s="42"/>
      <c r="B27" s="46"/>
      <c r="C27" s="42" t="s">
        <v>48</v>
      </c>
      <c r="D27" s="42"/>
      <c r="E27" s="55"/>
      <c r="F27" s="55"/>
      <c r="G27" s="55">
        <v>1101</v>
      </c>
      <c r="H27" s="55"/>
      <c r="I27" s="55">
        <f t="shared" si="3"/>
        <v>1101</v>
      </c>
      <c r="J27" s="48"/>
      <c r="K27" s="42"/>
      <c r="L27" t="s">
        <v>205</v>
      </c>
    </row>
    <row r="28" spans="1:12" x14ac:dyDescent="0.25">
      <c r="A28" s="42"/>
      <c r="B28" s="46"/>
      <c r="C28" s="42" t="s">
        <v>49</v>
      </c>
      <c r="D28" s="42"/>
      <c r="E28" s="55">
        <v>429</v>
      </c>
      <c r="F28" s="55">
        <f>Assumptions!J27</f>
        <v>428.87250000000006</v>
      </c>
      <c r="G28" s="55">
        <f>Assumptions!J27</f>
        <v>428.87250000000006</v>
      </c>
      <c r="H28" s="55"/>
      <c r="I28" s="55">
        <f t="shared" si="3"/>
        <v>1286.7450000000001</v>
      </c>
      <c r="J28" s="48"/>
      <c r="K28" s="42"/>
      <c r="L28" t="s">
        <v>205</v>
      </c>
    </row>
    <row r="29" spans="1:12" x14ac:dyDescent="0.25">
      <c r="A29" s="42"/>
      <c r="B29" s="46"/>
      <c r="C29" s="42" t="s">
        <v>50</v>
      </c>
      <c r="D29" s="42"/>
      <c r="E29" s="55"/>
      <c r="F29" s="55"/>
      <c r="G29" s="55">
        <f>225*5</f>
        <v>1125</v>
      </c>
      <c r="H29" s="55">
        <f>4*400</f>
        <v>1600</v>
      </c>
      <c r="I29" s="55">
        <f t="shared" si="3"/>
        <v>2725</v>
      </c>
      <c r="J29" s="48"/>
      <c r="K29" s="42"/>
      <c r="L29" t="s">
        <v>205</v>
      </c>
    </row>
    <row r="30" spans="1:12" x14ac:dyDescent="0.25">
      <c r="A30" s="42"/>
      <c r="B30" s="46"/>
      <c r="C30" s="42" t="s">
        <v>51</v>
      </c>
      <c r="D30" s="42"/>
      <c r="E30" s="55"/>
      <c r="F30" s="55"/>
      <c r="G30" s="55">
        <v>500</v>
      </c>
      <c r="H30" s="55"/>
      <c r="I30" s="55">
        <f t="shared" si="3"/>
        <v>500</v>
      </c>
      <c r="J30" s="48"/>
      <c r="K30" s="42"/>
      <c r="L30" t="s">
        <v>206</v>
      </c>
    </row>
    <row r="31" spans="1:12" x14ac:dyDescent="0.25">
      <c r="A31" s="42"/>
      <c r="B31" s="46"/>
      <c r="C31" s="42" t="s">
        <v>52</v>
      </c>
      <c r="D31" s="42"/>
      <c r="E31" s="55"/>
      <c r="F31" s="55"/>
      <c r="G31" s="55"/>
      <c r="H31" s="55">
        <v>500</v>
      </c>
      <c r="I31" s="55">
        <f t="shared" si="3"/>
        <v>500</v>
      </c>
      <c r="J31" s="48"/>
      <c r="K31" s="42"/>
    </row>
    <row r="32" spans="1:12" x14ac:dyDescent="0.25">
      <c r="A32" s="42"/>
      <c r="B32" s="46"/>
      <c r="C32" s="65" t="s">
        <v>53</v>
      </c>
      <c r="D32" s="42"/>
      <c r="E32" s="55"/>
      <c r="F32" s="55"/>
      <c r="G32" s="55"/>
      <c r="H32" s="55"/>
      <c r="I32" s="55"/>
      <c r="J32" s="48"/>
      <c r="K32" s="42"/>
    </row>
    <row r="33" spans="1:12" x14ac:dyDescent="0.25">
      <c r="A33" s="42"/>
      <c r="B33" s="46"/>
      <c r="C33" s="42" t="s">
        <v>54</v>
      </c>
      <c r="D33" s="42"/>
      <c r="E33" s="55">
        <f>Assumptions!J43</f>
        <v>610</v>
      </c>
      <c r="F33" s="55">
        <f>Assumptions!J43</f>
        <v>610</v>
      </c>
      <c r="G33" s="55">
        <f>450+108+100</f>
        <v>658</v>
      </c>
      <c r="H33" s="55">
        <f>2500*1.2</f>
        <v>3000</v>
      </c>
      <c r="I33" s="55">
        <f>SUM(E33:H33)</f>
        <v>4878</v>
      </c>
      <c r="J33" s="48"/>
      <c r="K33" s="42"/>
    </row>
    <row r="34" spans="1:12" x14ac:dyDescent="0.25">
      <c r="A34" s="42"/>
      <c r="B34" s="46"/>
      <c r="C34" s="42" t="s">
        <v>55</v>
      </c>
      <c r="D34" s="42"/>
      <c r="E34" s="55">
        <v>835</v>
      </c>
      <c r="F34" s="55">
        <v>95</v>
      </c>
      <c r="G34" s="55">
        <v>544</v>
      </c>
      <c r="H34" s="55">
        <v>450</v>
      </c>
      <c r="I34" s="55">
        <f>SUM(E34:H34)</f>
        <v>1924</v>
      </c>
      <c r="J34" s="48"/>
      <c r="K34" s="42"/>
    </row>
    <row r="35" spans="1:12" x14ac:dyDescent="0.25">
      <c r="A35" s="42"/>
      <c r="B35" s="46"/>
      <c r="C35" s="42" t="s">
        <v>56</v>
      </c>
      <c r="D35" s="42"/>
      <c r="E35" s="55"/>
      <c r="F35" s="55"/>
      <c r="G35" s="55"/>
      <c r="H35" s="55">
        <v>1600</v>
      </c>
      <c r="I35" s="55">
        <f>SUM(E35:H35)</f>
        <v>1600</v>
      </c>
      <c r="J35" s="48"/>
      <c r="K35" s="42"/>
    </row>
    <row r="36" spans="1:12" x14ac:dyDescent="0.25">
      <c r="A36" s="42"/>
      <c r="B36" s="46"/>
      <c r="C36" s="42" t="s">
        <v>57</v>
      </c>
      <c r="D36" s="42"/>
      <c r="E36" s="55"/>
      <c r="F36" s="55">
        <v>72</v>
      </c>
      <c r="G36" s="55">
        <v>105</v>
      </c>
      <c r="H36" s="55"/>
      <c r="I36" s="55">
        <f>SUM(E36:H36)</f>
        <v>177</v>
      </c>
      <c r="J36" s="48"/>
      <c r="K36" s="42"/>
    </row>
    <row r="37" spans="1:12" x14ac:dyDescent="0.25">
      <c r="A37" s="42"/>
      <c r="B37" s="46"/>
      <c r="C37" s="65" t="s">
        <v>58</v>
      </c>
      <c r="D37" s="42"/>
      <c r="E37" s="55"/>
      <c r="F37" s="55"/>
      <c r="G37" s="55"/>
      <c r="H37" s="55"/>
      <c r="I37" s="55"/>
      <c r="J37" s="48"/>
      <c r="K37" s="42"/>
    </row>
    <row r="38" spans="1:12" x14ac:dyDescent="0.25">
      <c r="A38" s="42"/>
      <c r="B38" s="46"/>
      <c r="C38" s="42" t="s">
        <v>43</v>
      </c>
      <c r="D38" s="42"/>
      <c r="E38" s="55">
        <v>64</v>
      </c>
      <c r="F38" s="55">
        <v>64</v>
      </c>
      <c r="G38" s="55">
        <v>64</v>
      </c>
      <c r="H38" s="55">
        <v>64</v>
      </c>
      <c r="I38" s="55">
        <f>SUM(E38:H38)</f>
        <v>256</v>
      </c>
      <c r="J38" s="48"/>
      <c r="K38" s="42"/>
    </row>
    <row r="39" spans="1:12" x14ac:dyDescent="0.25">
      <c r="A39" s="42"/>
      <c r="B39" s="46"/>
      <c r="C39" s="42" t="s">
        <v>30</v>
      </c>
      <c r="D39" s="42"/>
      <c r="E39" s="55">
        <v>22.5</v>
      </c>
      <c r="F39" s="55">
        <v>23</v>
      </c>
      <c r="G39" s="55">
        <v>26</v>
      </c>
      <c r="H39" s="55">
        <v>30</v>
      </c>
      <c r="I39" s="55">
        <f>SUM(E39:H39)</f>
        <v>101.5</v>
      </c>
      <c r="J39" s="48"/>
      <c r="K39" s="42"/>
    </row>
    <row r="40" spans="1:12" x14ac:dyDescent="0.25">
      <c r="A40" s="42"/>
      <c r="B40" s="46"/>
      <c r="C40" s="42" t="s">
        <v>119</v>
      </c>
      <c r="D40" s="42"/>
      <c r="E40" s="55">
        <f>135+75</f>
        <v>210</v>
      </c>
      <c r="F40" s="55">
        <v>170</v>
      </c>
      <c r="G40" s="55">
        <v>352</v>
      </c>
      <c r="H40" s="55">
        <v>250</v>
      </c>
      <c r="I40" s="55">
        <f>SUM(E40:H40)</f>
        <v>982</v>
      </c>
      <c r="J40" s="48"/>
      <c r="K40" s="42"/>
    </row>
    <row r="41" spans="1:12" x14ac:dyDescent="0.25">
      <c r="A41" s="42"/>
      <c r="B41" s="46"/>
      <c r="C41" s="42" t="s">
        <v>60</v>
      </c>
      <c r="D41" s="42"/>
      <c r="E41" s="55">
        <v>140</v>
      </c>
      <c r="F41" s="55">
        <v>130</v>
      </c>
      <c r="G41" s="55">
        <v>170</v>
      </c>
      <c r="H41" s="55">
        <v>200</v>
      </c>
      <c r="I41" s="55">
        <f>SUM(E41:H41)</f>
        <v>640</v>
      </c>
      <c r="J41" s="48"/>
      <c r="K41" s="42"/>
    </row>
    <row r="42" spans="1:12" x14ac:dyDescent="0.25">
      <c r="A42" s="42"/>
      <c r="B42" s="46"/>
      <c r="C42" s="65" t="s">
        <v>120</v>
      </c>
      <c r="D42" s="42"/>
      <c r="E42" s="55"/>
      <c r="F42" s="55"/>
      <c r="G42" s="55"/>
      <c r="H42" s="55"/>
      <c r="I42" s="55"/>
      <c r="J42" s="48"/>
      <c r="K42" s="42"/>
    </row>
    <row r="43" spans="1:12" x14ac:dyDescent="0.25">
      <c r="A43" s="42"/>
      <c r="B43" s="46"/>
      <c r="C43" s="42" t="s">
        <v>45</v>
      </c>
      <c r="D43" s="42"/>
      <c r="E43" s="55"/>
      <c r="F43" s="55">
        <v>174</v>
      </c>
      <c r="G43" s="55">
        <v>50</v>
      </c>
      <c r="H43" s="55"/>
      <c r="I43" s="55">
        <f t="shared" ref="I43:I46" si="4">SUM(E43:H43)</f>
        <v>224</v>
      </c>
      <c r="J43" s="48"/>
      <c r="K43" s="42"/>
    </row>
    <row r="44" spans="1:12" x14ac:dyDescent="0.25">
      <c r="A44" s="42"/>
      <c r="B44" s="46"/>
      <c r="C44" s="42" t="s">
        <v>64</v>
      </c>
      <c r="D44" s="42"/>
      <c r="E44" s="55">
        <v>30</v>
      </c>
      <c r="F44" s="55"/>
      <c r="G44" s="55"/>
      <c r="H44" s="55"/>
      <c r="I44" s="55">
        <f t="shared" si="4"/>
        <v>30</v>
      </c>
      <c r="J44" s="48"/>
      <c r="K44" s="42"/>
    </row>
    <row r="45" spans="1:12" x14ac:dyDescent="0.25">
      <c r="A45" s="42"/>
      <c r="B45" s="46"/>
      <c r="C45" s="42" t="s">
        <v>65</v>
      </c>
      <c r="D45" s="42"/>
      <c r="E45" s="55">
        <v>79</v>
      </c>
      <c r="F45" s="55">
        <v>115</v>
      </c>
      <c r="G45" s="55">
        <v>80</v>
      </c>
      <c r="H45" s="55">
        <v>180</v>
      </c>
      <c r="I45" s="55">
        <f t="shared" si="4"/>
        <v>454</v>
      </c>
      <c r="J45" s="48"/>
      <c r="K45" s="42"/>
    </row>
    <row r="46" spans="1:12" x14ac:dyDescent="0.25">
      <c r="A46" s="42"/>
      <c r="B46" s="46"/>
      <c r="C46" s="42" t="s">
        <v>199</v>
      </c>
      <c r="D46" s="42"/>
      <c r="E46" s="55"/>
      <c r="F46" s="55"/>
      <c r="G46" s="55">
        <v>410</v>
      </c>
      <c r="H46" s="55"/>
      <c r="I46" s="55">
        <f t="shared" si="4"/>
        <v>410</v>
      </c>
      <c r="J46" s="48"/>
      <c r="K46" s="42"/>
      <c r="L46" t="s">
        <v>202</v>
      </c>
    </row>
    <row r="47" spans="1:12" x14ac:dyDescent="0.25">
      <c r="A47" s="42"/>
      <c r="B47" s="46"/>
      <c r="C47" s="42" t="s">
        <v>32</v>
      </c>
      <c r="D47" s="42"/>
      <c r="E47" s="55"/>
      <c r="F47" s="55"/>
      <c r="G47" s="55"/>
      <c r="H47" s="55">
        <v>200</v>
      </c>
      <c r="I47" s="55">
        <f>SUM(E47:H47)</f>
        <v>200</v>
      </c>
      <c r="J47" s="48"/>
      <c r="K47" s="42"/>
    </row>
    <row r="48" spans="1:12" ht="15.75" x14ac:dyDescent="0.25">
      <c r="A48" s="42"/>
      <c r="B48" s="46"/>
      <c r="C48" s="53" t="s">
        <v>16</v>
      </c>
      <c r="D48" s="42"/>
      <c r="E48" s="56">
        <f>SUM(E26:E47)</f>
        <v>3179.1224999999999</v>
      </c>
      <c r="F48" s="56">
        <f>SUM(F26:F47)</f>
        <v>2728.4949999999999</v>
      </c>
      <c r="G48" s="56">
        <f>SUM(G26:G47)</f>
        <v>6373.4949999999999</v>
      </c>
      <c r="H48" s="56">
        <f>SUM(H26:H47)</f>
        <v>8833.6224999999995</v>
      </c>
      <c r="I48" s="56">
        <f>SUM(I26:I47)</f>
        <v>21114.735000000001</v>
      </c>
      <c r="J48" s="48"/>
      <c r="K48" s="42"/>
    </row>
    <row r="49" spans="1:11" ht="5.0999999999999996" customHeight="1" x14ac:dyDescent="0.25">
      <c r="A49" s="42"/>
      <c r="B49" s="46"/>
      <c r="C49" s="42"/>
      <c r="D49" s="42"/>
      <c r="E49" s="55"/>
      <c r="F49" s="55"/>
      <c r="G49" s="55"/>
      <c r="H49" s="55"/>
      <c r="I49" s="55"/>
      <c r="J49" s="48"/>
      <c r="K49" s="42"/>
    </row>
    <row r="50" spans="1:11" ht="15.75" x14ac:dyDescent="0.25">
      <c r="A50" s="42"/>
      <c r="B50" s="46"/>
      <c r="C50" s="53" t="s">
        <v>121</v>
      </c>
      <c r="D50" s="42"/>
      <c r="E50" s="56">
        <f>E21-E48</f>
        <v>-660.32249999999976</v>
      </c>
      <c r="F50" s="56">
        <f>F21-F48</f>
        <v>1184.5050000000001</v>
      </c>
      <c r="G50" s="56">
        <f>G21-G48</f>
        <v>-3166.4949999999999</v>
      </c>
      <c r="H50" s="56">
        <f>H21-H48</f>
        <v>-1623.6224999999995</v>
      </c>
      <c r="I50" s="56">
        <f>I21-I48</f>
        <v>-4265.9350000000013</v>
      </c>
      <c r="J50" s="48"/>
      <c r="K50" s="42"/>
    </row>
    <row r="51" spans="1:11" ht="5.0999999999999996" customHeight="1" thickBot="1" x14ac:dyDescent="0.3">
      <c r="A51" s="42"/>
      <c r="B51" s="57"/>
      <c r="C51" s="58"/>
      <c r="D51" s="58"/>
      <c r="E51" s="58"/>
      <c r="F51" s="58"/>
      <c r="G51" s="58"/>
      <c r="H51" s="58"/>
      <c r="I51" s="58"/>
      <c r="J51" s="59"/>
      <c r="K51" s="42"/>
    </row>
    <row r="52" spans="1:11" ht="5.0999999999999996" customHeigh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</row>
  </sheetData>
  <pageMargins left="0.7" right="0.7" top="0.75" bottom="0.75" header="0.3" footer="0.3"/>
  <pageSetup paperSize="9"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3:T54"/>
  <sheetViews>
    <sheetView topLeftCell="A43" zoomScale="90" zoomScaleNormal="90" workbookViewId="0">
      <selection activeCell="A49" sqref="A49:XFD49"/>
    </sheetView>
  </sheetViews>
  <sheetFormatPr defaultRowHeight="15" x14ac:dyDescent="0.25"/>
  <cols>
    <col min="4" max="4" width="11" bestFit="1" customWidth="1"/>
    <col min="12" max="12" width="32" customWidth="1"/>
  </cols>
  <sheetData>
    <row r="3" spans="1:20" ht="18.75" x14ac:dyDescent="0.3">
      <c r="A3" s="25" t="s">
        <v>0</v>
      </c>
      <c r="D3" s="1" t="s">
        <v>72</v>
      </c>
    </row>
    <row r="4" spans="1:20" ht="18.75" x14ac:dyDescent="0.3">
      <c r="A4" s="1"/>
      <c r="D4" s="1"/>
      <c r="K4" t="s">
        <v>73</v>
      </c>
    </row>
    <row r="5" spans="1:20" ht="15.75" thickBot="1" x14ac:dyDescent="0.3">
      <c r="E5" s="31"/>
      <c r="K5" t="s">
        <v>2</v>
      </c>
    </row>
    <row r="6" spans="1:20" ht="21.75" thickBot="1" x14ac:dyDescent="0.4">
      <c r="A6" s="33"/>
      <c r="B6" s="34"/>
      <c r="C6" s="30"/>
      <c r="E6" t="s">
        <v>34</v>
      </c>
      <c r="G6" t="s">
        <v>35</v>
      </c>
      <c r="I6" t="s">
        <v>36</v>
      </c>
      <c r="K6" t="s">
        <v>3</v>
      </c>
      <c r="M6" t="s">
        <v>74</v>
      </c>
    </row>
    <row r="7" spans="1:20" ht="15.75" x14ac:dyDescent="0.25">
      <c r="A7" s="26"/>
      <c r="B7" s="26"/>
      <c r="C7" s="26"/>
      <c r="D7" s="32"/>
      <c r="L7" t="s">
        <v>75</v>
      </c>
      <c r="M7" t="s">
        <v>46</v>
      </c>
      <c r="N7" s="80" t="s">
        <v>76</v>
      </c>
      <c r="O7" s="80"/>
      <c r="P7" s="80"/>
      <c r="Q7" s="80"/>
      <c r="R7" s="80"/>
      <c r="S7" s="80"/>
      <c r="T7" s="80"/>
    </row>
    <row r="9" spans="1:20" x14ac:dyDescent="0.25">
      <c r="A9" t="s">
        <v>37</v>
      </c>
    </row>
    <row r="10" spans="1:20" x14ac:dyDescent="0.25">
      <c r="B10" t="s">
        <v>38</v>
      </c>
      <c r="E10" s="38"/>
      <c r="F10" s="3"/>
      <c r="G10" s="3"/>
      <c r="H10" s="3"/>
      <c r="I10" s="4">
        <f>E10-G10</f>
        <v>0</v>
      </c>
      <c r="K10" s="17"/>
      <c r="M10">
        <f>SUM(N10:Z10)</f>
        <v>0</v>
      </c>
    </row>
    <row r="11" spans="1:20" x14ac:dyDescent="0.25">
      <c r="B11" t="s">
        <v>39</v>
      </c>
      <c r="E11" s="39"/>
      <c r="I11" s="40">
        <f>E11-G11</f>
        <v>0</v>
      </c>
      <c r="K11" s="18"/>
      <c r="M11">
        <f>SUM(N11:Z11)</f>
        <v>0</v>
      </c>
    </row>
    <row r="12" spans="1:20" x14ac:dyDescent="0.25">
      <c r="B12" t="s">
        <v>40</v>
      </c>
      <c r="E12" s="41"/>
      <c r="F12" s="5"/>
      <c r="G12" s="5"/>
      <c r="H12" s="5"/>
      <c r="I12" s="6">
        <f>E12-G12</f>
        <v>0</v>
      </c>
      <c r="K12" s="19"/>
      <c r="M12">
        <f>SUM(N12:Z12)</f>
        <v>0</v>
      </c>
    </row>
    <row r="13" spans="1:20" x14ac:dyDescent="0.25">
      <c r="E13" s="36"/>
      <c r="F13" s="7"/>
      <c r="G13" s="36"/>
      <c r="H13" s="7"/>
      <c r="I13" s="8">
        <f>E13-G13</f>
        <v>0</v>
      </c>
      <c r="K13" s="7">
        <f>SUM(K10:K12)</f>
        <v>0</v>
      </c>
    </row>
    <row r="14" spans="1:20" x14ac:dyDescent="0.25">
      <c r="A14" t="s">
        <v>41</v>
      </c>
      <c r="I14" s="2"/>
    </row>
    <row r="15" spans="1:20" x14ac:dyDescent="0.25">
      <c r="B15" t="s">
        <v>38</v>
      </c>
      <c r="E15" s="38"/>
      <c r="F15" s="3"/>
      <c r="G15" s="3"/>
      <c r="H15" s="3"/>
      <c r="I15" s="4">
        <f>E15-G15</f>
        <v>0</v>
      </c>
      <c r="K15" s="17"/>
    </row>
    <row r="16" spans="1:20" x14ac:dyDescent="0.25">
      <c r="B16" t="s">
        <v>39</v>
      </c>
      <c r="E16" s="39"/>
      <c r="I16" s="40">
        <f>E16-G16</f>
        <v>0</v>
      </c>
      <c r="K16" s="18"/>
    </row>
    <row r="17" spans="1:19" x14ac:dyDescent="0.25">
      <c r="B17" t="s">
        <v>40</v>
      </c>
      <c r="E17" s="41"/>
      <c r="F17" s="5"/>
      <c r="G17" s="5"/>
      <c r="H17" s="5"/>
      <c r="I17" s="6">
        <f>E17-G17</f>
        <v>0</v>
      </c>
      <c r="K17" s="19"/>
    </row>
    <row r="18" spans="1:19" x14ac:dyDescent="0.25">
      <c r="I18" s="2"/>
    </row>
    <row r="19" spans="1:19" x14ac:dyDescent="0.25">
      <c r="A19" t="s">
        <v>42</v>
      </c>
      <c r="I19" s="2"/>
    </row>
    <row r="20" spans="1:19" x14ac:dyDescent="0.25">
      <c r="B20" t="s">
        <v>43</v>
      </c>
      <c r="D20" s="2"/>
      <c r="E20" s="9"/>
      <c r="F20" s="10"/>
      <c r="G20" s="10"/>
      <c r="H20" s="10"/>
      <c r="I20" s="4">
        <f>E20-G20</f>
        <v>0</v>
      </c>
      <c r="J20" s="2"/>
      <c r="K20" s="20"/>
      <c r="L20" s="28"/>
      <c r="M20">
        <f>SUM(N20:T20)</f>
        <v>0</v>
      </c>
      <c r="N20" s="29"/>
      <c r="O20" s="29"/>
      <c r="P20" s="29"/>
      <c r="Q20" s="29"/>
      <c r="R20" s="29"/>
      <c r="S20" s="29"/>
    </row>
    <row r="21" spans="1:19" x14ac:dyDescent="0.25">
      <c r="B21" t="s">
        <v>44</v>
      </c>
      <c r="D21" s="2"/>
      <c r="E21" s="11"/>
      <c r="F21" s="2"/>
      <c r="G21" s="2"/>
      <c r="H21" s="2"/>
      <c r="I21" s="40">
        <f>E21-G21</f>
        <v>0</v>
      </c>
      <c r="J21" s="2"/>
      <c r="K21" s="21"/>
      <c r="L21" s="28"/>
      <c r="M21" s="29">
        <f>SUM(N21:T21)</f>
        <v>0</v>
      </c>
      <c r="N21" s="29"/>
    </row>
    <row r="22" spans="1:19" x14ac:dyDescent="0.25">
      <c r="B22" t="s">
        <v>45</v>
      </c>
      <c r="D22" s="2"/>
      <c r="E22" s="12"/>
      <c r="F22" s="13"/>
      <c r="G22" s="13"/>
      <c r="H22" s="13"/>
      <c r="I22" s="6">
        <f>E22-G22</f>
        <v>0</v>
      </c>
      <c r="J22" s="2"/>
      <c r="K22" s="22"/>
      <c r="L22" s="28"/>
      <c r="M22">
        <f>SUM(N22:T22)</f>
        <v>0</v>
      </c>
    </row>
    <row r="23" spans="1:19" ht="15.75" thickBot="1" x14ac:dyDescent="0.3">
      <c r="D23" s="2"/>
      <c r="E23" s="2"/>
      <c r="F23" s="2"/>
      <c r="G23" s="2"/>
      <c r="H23" s="2"/>
      <c r="I23" s="2"/>
      <c r="J23" s="2"/>
      <c r="K23" s="2"/>
    </row>
    <row r="24" spans="1:19" ht="15.75" thickBot="1" x14ac:dyDescent="0.3">
      <c r="B24" t="s">
        <v>46</v>
      </c>
      <c r="D24" s="2"/>
      <c r="E24" s="14">
        <f>SUM(E20:E23)</f>
        <v>0</v>
      </c>
      <c r="F24" s="15"/>
      <c r="G24" s="15">
        <f t="shared" ref="G24:G52" si="0">K24</f>
        <v>0</v>
      </c>
      <c r="H24" s="15"/>
      <c r="I24" s="16">
        <f>E24-G24</f>
        <v>0</v>
      </c>
      <c r="J24" s="2"/>
      <c r="K24" s="23">
        <f>SUM(K20:K22)</f>
        <v>0</v>
      </c>
    </row>
    <row r="25" spans="1:19" x14ac:dyDescent="0.25">
      <c r="D25" s="2"/>
      <c r="E25" s="2"/>
      <c r="F25" s="2"/>
      <c r="G25" s="2"/>
      <c r="H25" s="2"/>
      <c r="I25" s="2"/>
      <c r="J25" s="2"/>
      <c r="K25" s="2"/>
    </row>
    <row r="26" spans="1:19" x14ac:dyDescent="0.25">
      <c r="A26" t="s">
        <v>16</v>
      </c>
      <c r="D26" s="2"/>
      <c r="E26" s="2"/>
      <c r="F26" s="2"/>
      <c r="G26" s="2"/>
      <c r="H26" s="2"/>
      <c r="I26" s="2"/>
      <c r="J26" s="2"/>
      <c r="K26" s="2"/>
    </row>
    <row r="27" spans="1:19" x14ac:dyDescent="0.25">
      <c r="B27" t="s">
        <v>47</v>
      </c>
      <c r="D27" s="2"/>
      <c r="E27" s="9">
        <f t="shared" ref="E27:E32" si="1">M27</f>
        <v>0</v>
      </c>
      <c r="F27" s="10"/>
      <c r="G27" s="10">
        <f t="shared" si="0"/>
        <v>0</v>
      </c>
      <c r="H27" s="10"/>
      <c r="I27" s="4">
        <f>G27-E27</f>
        <v>0</v>
      </c>
      <c r="J27" s="2"/>
      <c r="K27" s="20"/>
      <c r="M27">
        <f t="shared" ref="M27:M50" si="2">SUM(N27:T27)</f>
        <v>0</v>
      </c>
    </row>
    <row r="28" spans="1:19" x14ac:dyDescent="0.25">
      <c r="B28" t="s">
        <v>48</v>
      </c>
      <c r="D28" s="2"/>
      <c r="E28" s="11">
        <f t="shared" si="1"/>
        <v>0</v>
      </c>
      <c r="F28" s="2"/>
      <c r="G28" s="2">
        <f t="shared" si="0"/>
        <v>0</v>
      </c>
      <c r="H28" s="2"/>
      <c r="I28" s="40">
        <f t="shared" ref="I28:I52" si="3">G28-E28</f>
        <v>0</v>
      </c>
      <c r="J28" s="2"/>
      <c r="K28" s="21"/>
      <c r="L28" s="27"/>
      <c r="M28">
        <f t="shared" si="2"/>
        <v>0</v>
      </c>
    </row>
    <row r="29" spans="1:19" x14ac:dyDescent="0.25">
      <c r="B29" t="s">
        <v>49</v>
      </c>
      <c r="D29" s="2"/>
      <c r="E29" s="11">
        <f t="shared" si="1"/>
        <v>0</v>
      </c>
      <c r="F29" s="2"/>
      <c r="G29" s="2">
        <f t="shared" si="0"/>
        <v>0</v>
      </c>
      <c r="H29" s="2"/>
      <c r="I29" s="40">
        <f t="shared" si="3"/>
        <v>0</v>
      </c>
      <c r="J29" s="2"/>
      <c r="K29" s="21"/>
      <c r="M29">
        <f t="shared" si="2"/>
        <v>0</v>
      </c>
      <c r="N29" s="35"/>
    </row>
    <row r="30" spans="1:19" x14ac:dyDescent="0.25">
      <c r="B30" t="s">
        <v>50</v>
      </c>
      <c r="D30" s="2"/>
      <c r="E30" s="11">
        <f t="shared" si="1"/>
        <v>0</v>
      </c>
      <c r="F30" s="2"/>
      <c r="G30" s="2">
        <f t="shared" si="0"/>
        <v>0</v>
      </c>
      <c r="H30" s="2"/>
      <c r="I30" s="40">
        <f t="shared" si="3"/>
        <v>0</v>
      </c>
      <c r="J30" s="2"/>
      <c r="K30" s="21"/>
      <c r="M30">
        <f t="shared" si="2"/>
        <v>0</v>
      </c>
      <c r="N30" s="35"/>
      <c r="O30" s="35"/>
    </row>
    <row r="31" spans="1:19" x14ac:dyDescent="0.25">
      <c r="B31" t="s">
        <v>51</v>
      </c>
      <c r="D31" s="2"/>
      <c r="E31" s="11">
        <f t="shared" si="1"/>
        <v>0</v>
      </c>
      <c r="F31" s="2"/>
      <c r="G31" s="2">
        <f t="shared" si="0"/>
        <v>0</v>
      </c>
      <c r="H31" s="2"/>
      <c r="I31" s="40">
        <f t="shared" si="3"/>
        <v>0</v>
      </c>
      <c r="J31" s="2"/>
      <c r="K31" s="21"/>
      <c r="M31">
        <f t="shared" si="2"/>
        <v>0</v>
      </c>
    </row>
    <row r="32" spans="1:19" x14ac:dyDescent="0.25">
      <c r="B32" t="s">
        <v>52</v>
      </c>
      <c r="D32" s="2"/>
      <c r="E32" s="12">
        <f t="shared" si="1"/>
        <v>0</v>
      </c>
      <c r="F32" s="13"/>
      <c r="G32" s="13">
        <f t="shared" si="0"/>
        <v>0</v>
      </c>
      <c r="H32" s="13"/>
      <c r="I32" s="6">
        <f t="shared" si="3"/>
        <v>0</v>
      </c>
      <c r="J32" s="2"/>
      <c r="K32" s="22"/>
      <c r="L32" s="27"/>
      <c r="M32">
        <f t="shared" si="2"/>
        <v>0</v>
      </c>
    </row>
    <row r="33" spans="1:15" x14ac:dyDescent="0.25">
      <c r="A33" t="s">
        <v>53</v>
      </c>
      <c r="D33" s="2"/>
      <c r="E33" s="2"/>
      <c r="F33" s="2"/>
      <c r="G33" s="2"/>
      <c r="H33" s="2"/>
      <c r="I33" s="2"/>
      <c r="J33" s="2"/>
      <c r="K33" s="2"/>
    </row>
    <row r="34" spans="1:15" x14ac:dyDescent="0.25">
      <c r="B34" t="s">
        <v>54</v>
      </c>
      <c r="D34" s="2"/>
      <c r="E34" s="9">
        <f>M34</f>
        <v>0</v>
      </c>
      <c r="F34" s="10"/>
      <c r="G34" s="10">
        <f t="shared" si="0"/>
        <v>0</v>
      </c>
      <c r="H34" s="10"/>
      <c r="I34" s="4">
        <f t="shared" si="3"/>
        <v>0</v>
      </c>
      <c r="J34" s="2"/>
      <c r="K34" s="20"/>
      <c r="L34" s="27"/>
      <c r="M34">
        <f t="shared" si="2"/>
        <v>0</v>
      </c>
      <c r="N34" s="35"/>
    </row>
    <row r="35" spans="1:15" x14ac:dyDescent="0.25">
      <c r="B35" t="s">
        <v>55</v>
      </c>
      <c r="D35" s="2"/>
      <c r="E35" s="11">
        <f>M35</f>
        <v>0</v>
      </c>
      <c r="F35" s="2"/>
      <c r="G35" s="2">
        <f t="shared" si="0"/>
        <v>0</v>
      </c>
      <c r="H35" s="2"/>
      <c r="I35" s="40">
        <f t="shared" si="3"/>
        <v>0</v>
      </c>
      <c r="J35" s="2"/>
      <c r="K35" s="21"/>
      <c r="M35">
        <f t="shared" si="2"/>
        <v>0</v>
      </c>
      <c r="N35" s="35"/>
      <c r="O35" s="35"/>
    </row>
    <row r="36" spans="1:15" x14ac:dyDescent="0.25">
      <c r="B36" t="s">
        <v>56</v>
      </c>
      <c r="D36" s="2"/>
      <c r="E36" s="11">
        <f>M36</f>
        <v>0</v>
      </c>
      <c r="F36" s="2"/>
      <c r="G36" s="2">
        <f t="shared" si="0"/>
        <v>0</v>
      </c>
      <c r="H36" s="2"/>
      <c r="I36" s="40">
        <f t="shared" si="3"/>
        <v>0</v>
      </c>
      <c r="J36" s="2"/>
      <c r="K36" s="21"/>
      <c r="M36">
        <f t="shared" si="2"/>
        <v>0</v>
      </c>
    </row>
    <row r="37" spans="1:15" x14ac:dyDescent="0.25">
      <c r="B37" t="s">
        <v>77</v>
      </c>
      <c r="D37" s="2"/>
      <c r="E37" s="11">
        <f>M37</f>
        <v>0</v>
      </c>
      <c r="F37" s="2"/>
      <c r="G37" s="2">
        <f t="shared" si="0"/>
        <v>0</v>
      </c>
      <c r="H37" s="2"/>
      <c r="I37" s="40">
        <f t="shared" si="3"/>
        <v>0</v>
      </c>
      <c r="J37" s="2"/>
      <c r="K37" s="21"/>
      <c r="M37">
        <f t="shared" si="2"/>
        <v>0</v>
      </c>
    </row>
    <row r="38" spans="1:15" x14ac:dyDescent="0.25">
      <c r="B38" t="s">
        <v>78</v>
      </c>
      <c r="D38" s="2"/>
      <c r="E38" s="12">
        <f>M38</f>
        <v>0</v>
      </c>
      <c r="F38" s="13"/>
      <c r="G38" s="13">
        <f t="shared" si="0"/>
        <v>0</v>
      </c>
      <c r="H38" s="13"/>
      <c r="I38" s="6">
        <f t="shared" si="3"/>
        <v>0</v>
      </c>
      <c r="J38" s="2"/>
      <c r="K38" s="22"/>
      <c r="M38">
        <f t="shared" si="2"/>
        <v>0</v>
      </c>
    </row>
    <row r="39" spans="1:15" x14ac:dyDescent="0.25">
      <c r="A39" t="s">
        <v>58</v>
      </c>
      <c r="D39" s="2"/>
      <c r="E39" s="2"/>
      <c r="F39" s="2"/>
      <c r="G39" s="2"/>
      <c r="H39" s="2"/>
      <c r="I39" s="2"/>
      <c r="J39" s="2"/>
      <c r="K39" s="2"/>
    </row>
    <row r="40" spans="1:15" x14ac:dyDescent="0.25">
      <c r="B40" t="s">
        <v>43</v>
      </c>
      <c r="D40" s="2"/>
      <c r="E40" s="9">
        <f t="shared" ref="E40:E50" si="4">M40</f>
        <v>0</v>
      </c>
      <c r="F40" s="10"/>
      <c r="G40" s="10">
        <f t="shared" si="0"/>
        <v>0</v>
      </c>
      <c r="H40" s="10"/>
      <c r="I40" s="4">
        <f t="shared" si="3"/>
        <v>0</v>
      </c>
      <c r="J40" s="2"/>
      <c r="K40" s="20"/>
      <c r="M40">
        <f t="shared" si="2"/>
        <v>0</v>
      </c>
      <c r="N40" s="35"/>
    </row>
    <row r="41" spans="1:15" x14ac:dyDescent="0.25">
      <c r="B41" t="s">
        <v>30</v>
      </c>
      <c r="D41" s="2"/>
      <c r="E41" s="11">
        <f>M41</f>
        <v>0</v>
      </c>
      <c r="F41" s="2"/>
      <c r="G41" s="2">
        <f t="shared" si="0"/>
        <v>0</v>
      </c>
      <c r="H41" s="2"/>
      <c r="I41" s="40">
        <f t="shared" si="3"/>
        <v>0</v>
      </c>
      <c r="J41" s="2"/>
      <c r="K41" s="21"/>
      <c r="M41">
        <f t="shared" si="2"/>
        <v>0</v>
      </c>
      <c r="N41" s="35"/>
    </row>
    <row r="42" spans="1:15" x14ac:dyDescent="0.25">
      <c r="B42" t="s">
        <v>59</v>
      </c>
      <c r="D42" s="2"/>
      <c r="E42" s="11">
        <f t="shared" si="4"/>
        <v>0</v>
      </c>
      <c r="F42" s="2"/>
      <c r="G42" s="2">
        <f t="shared" si="0"/>
        <v>0</v>
      </c>
      <c r="H42" s="2"/>
      <c r="I42" s="40">
        <f t="shared" si="3"/>
        <v>0</v>
      </c>
      <c r="J42" s="2"/>
      <c r="K42" s="21"/>
      <c r="L42" s="27"/>
      <c r="M42">
        <f t="shared" si="2"/>
        <v>0</v>
      </c>
      <c r="N42" s="35"/>
    </row>
    <row r="43" spans="1:15" x14ac:dyDescent="0.25">
      <c r="B43" t="s">
        <v>60</v>
      </c>
      <c r="D43" s="2"/>
      <c r="E43" s="11">
        <f t="shared" si="4"/>
        <v>0</v>
      </c>
      <c r="F43" s="2"/>
      <c r="G43" s="2">
        <f t="shared" si="0"/>
        <v>0</v>
      </c>
      <c r="H43" s="2"/>
      <c r="I43" s="40">
        <f t="shared" si="3"/>
        <v>0</v>
      </c>
      <c r="J43" s="2"/>
      <c r="K43" s="21"/>
      <c r="L43" s="27"/>
      <c r="M43">
        <f t="shared" si="2"/>
        <v>0</v>
      </c>
      <c r="N43" s="2"/>
    </row>
    <row r="44" spans="1:15" x14ac:dyDescent="0.25">
      <c r="B44" t="s">
        <v>61</v>
      </c>
      <c r="D44" s="2"/>
      <c r="E44" s="12">
        <f t="shared" si="4"/>
        <v>0</v>
      </c>
      <c r="F44" s="13"/>
      <c r="G44" s="13">
        <f t="shared" si="0"/>
        <v>0</v>
      </c>
      <c r="H44" s="13"/>
      <c r="I44" s="6">
        <f t="shared" si="3"/>
        <v>0</v>
      </c>
      <c r="J44" s="2"/>
      <c r="K44" s="22"/>
      <c r="M44">
        <f t="shared" si="2"/>
        <v>0</v>
      </c>
      <c r="N44" s="35"/>
    </row>
    <row r="45" spans="1:15" x14ac:dyDescent="0.25">
      <c r="A45" t="s">
        <v>62</v>
      </c>
      <c r="D45" s="2"/>
      <c r="E45" s="2"/>
      <c r="F45" s="2"/>
      <c r="G45" s="2"/>
      <c r="H45" s="2"/>
      <c r="I45" s="2"/>
      <c r="J45" s="2"/>
      <c r="K45" s="2"/>
    </row>
    <row r="46" spans="1:15" x14ac:dyDescent="0.25">
      <c r="A46" t="s">
        <v>63</v>
      </c>
      <c r="B46" t="s">
        <v>25</v>
      </c>
      <c r="D46" s="2"/>
      <c r="E46" s="9">
        <f t="shared" si="4"/>
        <v>0</v>
      </c>
      <c r="F46" s="10"/>
      <c r="G46" s="10">
        <f t="shared" si="0"/>
        <v>0</v>
      </c>
      <c r="H46" s="10"/>
      <c r="I46" s="4">
        <f t="shared" si="3"/>
        <v>0</v>
      </c>
      <c r="J46" s="2"/>
      <c r="K46" s="20"/>
      <c r="M46">
        <f t="shared" si="2"/>
        <v>0</v>
      </c>
    </row>
    <row r="47" spans="1:15" x14ac:dyDescent="0.25">
      <c r="B47" t="s">
        <v>45</v>
      </c>
      <c r="D47" s="2"/>
      <c r="E47" s="11">
        <f t="shared" si="4"/>
        <v>0</v>
      </c>
      <c r="F47" s="2"/>
      <c r="G47" s="2">
        <f t="shared" si="0"/>
        <v>0</v>
      </c>
      <c r="H47" s="2"/>
      <c r="I47" s="40">
        <f t="shared" si="3"/>
        <v>0</v>
      </c>
      <c r="J47" s="2"/>
      <c r="K47" s="21"/>
      <c r="M47">
        <f t="shared" si="2"/>
        <v>0</v>
      </c>
      <c r="N47" s="35"/>
    </row>
    <row r="48" spans="1:15" x14ac:dyDescent="0.25">
      <c r="B48" t="s">
        <v>64</v>
      </c>
      <c r="D48" s="2"/>
      <c r="E48" s="11">
        <f t="shared" si="4"/>
        <v>0</v>
      </c>
      <c r="F48" s="2"/>
      <c r="G48" s="2">
        <f t="shared" si="0"/>
        <v>0</v>
      </c>
      <c r="H48" s="2"/>
      <c r="I48" s="40">
        <f t="shared" si="3"/>
        <v>0</v>
      </c>
      <c r="J48" s="2"/>
      <c r="K48" s="21"/>
      <c r="M48">
        <f t="shared" si="2"/>
        <v>0</v>
      </c>
    </row>
    <row r="49" spans="1:14" x14ac:dyDescent="0.25">
      <c r="B49" t="s">
        <v>65</v>
      </c>
      <c r="D49" s="2"/>
      <c r="E49" s="11">
        <f>M49</f>
        <v>0</v>
      </c>
      <c r="F49" s="2"/>
      <c r="G49" s="2">
        <f>K49</f>
        <v>0</v>
      </c>
      <c r="H49" s="2"/>
      <c r="I49" s="40">
        <f t="shared" si="3"/>
        <v>0</v>
      </c>
      <c r="J49" s="2"/>
      <c r="K49" s="21"/>
      <c r="M49">
        <f t="shared" si="2"/>
        <v>0</v>
      </c>
    </row>
    <row r="50" spans="1:14" x14ac:dyDescent="0.25">
      <c r="B50" t="s">
        <v>32</v>
      </c>
      <c r="D50" s="2"/>
      <c r="E50" s="12">
        <f t="shared" si="4"/>
        <v>0</v>
      </c>
      <c r="F50" s="13"/>
      <c r="G50" s="13">
        <f t="shared" si="0"/>
        <v>0</v>
      </c>
      <c r="H50" s="13"/>
      <c r="I50" s="6">
        <f t="shared" si="3"/>
        <v>0</v>
      </c>
      <c r="J50" s="2"/>
      <c r="K50" s="22"/>
      <c r="L50" s="27"/>
      <c r="M50">
        <f t="shared" si="2"/>
        <v>0</v>
      </c>
      <c r="N50" s="29"/>
    </row>
    <row r="51" spans="1:14" ht="15.75" thickBot="1" x14ac:dyDescent="0.3">
      <c r="B51" t="s">
        <v>66</v>
      </c>
      <c r="D51" s="2"/>
      <c r="E51" s="2"/>
      <c r="F51" s="2"/>
      <c r="G51" s="2"/>
      <c r="H51" s="2"/>
      <c r="I51" s="2"/>
      <c r="J51" s="2"/>
      <c r="K51" s="2"/>
    </row>
    <row r="52" spans="1:14" ht="15.75" thickBot="1" x14ac:dyDescent="0.3">
      <c r="A52" t="s">
        <v>67</v>
      </c>
      <c r="D52" s="2"/>
      <c r="E52" s="14">
        <f>SUM(E27:E51)</f>
        <v>0</v>
      </c>
      <c r="F52" s="15"/>
      <c r="G52" s="15">
        <f t="shared" si="0"/>
        <v>0</v>
      </c>
      <c r="H52" s="15"/>
      <c r="I52" s="16">
        <f t="shared" si="3"/>
        <v>0</v>
      </c>
      <c r="J52" s="2"/>
      <c r="K52" s="24">
        <f>SUM(K27:K51)</f>
        <v>0</v>
      </c>
    </row>
    <row r="53" spans="1:14" ht="15.75" thickBot="1" x14ac:dyDescent="0.3">
      <c r="D53" s="2"/>
      <c r="E53" s="2"/>
      <c r="F53" s="2"/>
      <c r="G53" s="2"/>
      <c r="H53" s="2"/>
      <c r="I53" s="2"/>
      <c r="J53" s="2"/>
      <c r="K53" s="2"/>
    </row>
    <row r="54" spans="1:14" ht="15.75" thickBot="1" x14ac:dyDescent="0.3">
      <c r="A54" t="s">
        <v>71</v>
      </c>
      <c r="D54" s="2"/>
      <c r="E54" s="14">
        <f>E24-E52</f>
        <v>0</v>
      </c>
      <c r="F54" s="15"/>
      <c r="G54" s="15">
        <f>G24-G52</f>
        <v>0</v>
      </c>
      <c r="H54" s="15"/>
      <c r="I54" s="16">
        <f>I24+I52</f>
        <v>0</v>
      </c>
      <c r="J54" s="2"/>
      <c r="K54" s="24">
        <f>K24-K52</f>
        <v>0</v>
      </c>
    </row>
  </sheetData>
  <mergeCells count="1">
    <mergeCell ref="N7:T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&amp;L&amp;"Calibri"&amp;10&amp;K000000Classified: Internal Personal and Confidential&amp;1#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38A2F-35E1-42EE-90B0-C3FF74BF80A4}">
  <dimension ref="A1:R42"/>
  <sheetViews>
    <sheetView tabSelected="1" workbookViewId="0">
      <selection activeCell="O16" sqref="O16"/>
    </sheetView>
  </sheetViews>
  <sheetFormatPr defaultRowHeight="15" x14ac:dyDescent="0.25"/>
  <cols>
    <col min="1" max="1" width="1.7109375" customWidth="1"/>
    <col min="2" max="2" width="29.28515625" bestFit="1" customWidth="1"/>
    <col min="3" max="3" width="1.7109375" customWidth="1"/>
    <col min="8" max="8" width="1.7109375" customWidth="1"/>
    <col min="9" max="9" width="61.140625" bestFit="1" customWidth="1"/>
    <col min="10" max="10" width="1.7109375" customWidth="1"/>
  </cols>
  <sheetData>
    <row r="1" spans="1:10" ht="5.0999999999999996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s="75" customFormat="1" ht="30" customHeight="1" x14ac:dyDescent="0.25">
      <c r="A2" s="76"/>
      <c r="B2" s="79" t="s">
        <v>203</v>
      </c>
      <c r="C2" s="76"/>
      <c r="D2" s="77" t="s">
        <v>3</v>
      </c>
      <c r="E2" s="77" t="s">
        <v>172</v>
      </c>
      <c r="F2" s="77" t="s">
        <v>173</v>
      </c>
      <c r="G2" s="77" t="s">
        <v>187</v>
      </c>
      <c r="H2" s="78"/>
      <c r="I2" s="78" t="s">
        <v>174</v>
      </c>
      <c r="J2" s="76"/>
    </row>
    <row r="3" spans="1:10" ht="5.0999999999999996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2"/>
      <c r="B4" s="42" t="s">
        <v>186</v>
      </c>
      <c r="C4" s="42"/>
      <c r="D4" s="55">
        <v>21234.313125000001</v>
      </c>
      <c r="E4" s="55">
        <f>'[1]Management accounts'!F4</f>
        <v>22271</v>
      </c>
      <c r="F4" s="55">
        <f>'Non concert'!J11+'Non concert'!J17</f>
        <v>22271</v>
      </c>
      <c r="G4" s="55">
        <f>F4-E4</f>
        <v>0</v>
      </c>
      <c r="H4" s="42"/>
      <c r="I4" s="42"/>
      <c r="J4" s="42"/>
    </row>
    <row r="5" spans="1:10" x14ac:dyDescent="0.25">
      <c r="A5" s="42"/>
      <c r="B5" s="42" t="s">
        <v>175</v>
      </c>
      <c r="C5" s="42"/>
      <c r="D5" s="55">
        <v>1865.0000000000009</v>
      </c>
      <c r="E5" s="55">
        <f>'[1]Management accounts'!F5</f>
        <v>2944</v>
      </c>
      <c r="F5" s="55">
        <f>'Non concert'!J24-'Non concert'!J17-'Non concert'!J11</f>
        <v>2994</v>
      </c>
      <c r="G5" s="55">
        <f t="shared" ref="G5:G12" si="0">F5-E5</f>
        <v>50</v>
      </c>
      <c r="H5" s="42"/>
      <c r="I5" s="42"/>
      <c r="J5" s="42"/>
    </row>
    <row r="6" spans="1:10" s="7" customFormat="1" x14ac:dyDescent="0.25">
      <c r="A6" s="49"/>
      <c r="B6" s="49" t="s">
        <v>176</v>
      </c>
      <c r="C6" s="49"/>
      <c r="D6" s="56">
        <v>23099.313125000001</v>
      </c>
      <c r="E6" s="56">
        <f t="shared" ref="E6:F6" si="1">SUM(E4:E5)</f>
        <v>25215</v>
      </c>
      <c r="F6" s="56">
        <f t="shared" si="1"/>
        <v>25265</v>
      </c>
      <c r="G6" s="56">
        <f t="shared" si="0"/>
        <v>50</v>
      </c>
      <c r="H6" s="49"/>
      <c r="I6" s="49"/>
      <c r="J6" s="49"/>
    </row>
    <row r="7" spans="1:10" ht="5.0999999999999996" customHeight="1" x14ac:dyDescent="0.25">
      <c r="A7" s="42"/>
      <c r="B7" s="42"/>
      <c r="C7" s="42"/>
      <c r="D7" s="55"/>
      <c r="E7" s="55"/>
      <c r="F7" s="55"/>
      <c r="G7" s="55"/>
      <c r="H7" s="42"/>
      <c r="I7" s="42"/>
      <c r="J7" s="42"/>
    </row>
    <row r="8" spans="1:10" x14ac:dyDescent="0.25">
      <c r="A8" s="42"/>
      <c r="B8" s="42" t="s">
        <v>118</v>
      </c>
      <c r="C8" s="42"/>
      <c r="D8" s="55">
        <v>13423.121250000002</v>
      </c>
      <c r="E8" s="55">
        <f>'[1]Management accounts'!F8</f>
        <v>14014</v>
      </c>
      <c r="F8" s="55">
        <f>'Non concert'!J27+'Non concert'!J28</f>
        <v>14014</v>
      </c>
      <c r="G8" s="55">
        <f>E8-F8</f>
        <v>0</v>
      </c>
      <c r="H8" s="42"/>
      <c r="I8" s="42"/>
      <c r="J8" s="42"/>
    </row>
    <row r="9" spans="1:10" x14ac:dyDescent="0.25">
      <c r="A9" s="42"/>
      <c r="B9" s="42" t="s">
        <v>177</v>
      </c>
      <c r="C9" s="42"/>
      <c r="D9" s="55">
        <v>2362.5</v>
      </c>
      <c r="E9" s="55">
        <f>'[1]Management accounts'!F9</f>
        <v>2598.4124999999999</v>
      </c>
      <c r="F9" s="55">
        <f>'Non concert'!J30</f>
        <v>2572.1624999999999</v>
      </c>
      <c r="G9" s="55">
        <f t="shared" ref="G9:G11" si="2">E9-F9</f>
        <v>26.25</v>
      </c>
      <c r="H9" s="42"/>
      <c r="I9" s="42"/>
      <c r="J9" s="42"/>
    </row>
    <row r="10" spans="1:10" x14ac:dyDescent="0.25">
      <c r="A10" s="42"/>
      <c r="B10" s="42" t="s">
        <v>178</v>
      </c>
      <c r="C10" s="42"/>
      <c r="D10" s="55">
        <v>2452.5599999999995</v>
      </c>
      <c r="E10" s="55">
        <f>'[1]Management accounts'!F10</f>
        <v>2935.9999999999986</v>
      </c>
      <c r="F10" s="55">
        <f>'Non concert'!J47-'Non concert'!J27-'Non concert'!J28-'Non concert'!J30-'Non concert'!J31</f>
        <v>2885.9999999999986</v>
      </c>
      <c r="G10" s="55">
        <f t="shared" si="2"/>
        <v>50</v>
      </c>
      <c r="H10" s="42"/>
      <c r="I10" s="42"/>
      <c r="J10" s="42"/>
    </row>
    <row r="11" spans="1:10" s="7" customFormat="1" x14ac:dyDescent="0.25">
      <c r="A11" s="49"/>
      <c r="B11" s="49" t="s">
        <v>179</v>
      </c>
      <c r="C11" s="49"/>
      <c r="D11" s="56">
        <v>18238.181250000001</v>
      </c>
      <c r="E11" s="56">
        <f t="shared" ref="E11:F11" si="3">SUM(E8:E10)</f>
        <v>19548.412499999999</v>
      </c>
      <c r="F11" s="56">
        <f t="shared" si="3"/>
        <v>19472.162499999999</v>
      </c>
      <c r="G11" s="56">
        <f t="shared" si="2"/>
        <v>76.25</v>
      </c>
      <c r="H11" s="49"/>
      <c r="I11" s="49"/>
      <c r="J11" s="49"/>
    </row>
    <row r="12" spans="1:10" s="7" customFormat="1" x14ac:dyDescent="0.25">
      <c r="A12" s="49"/>
      <c r="B12" s="49" t="s">
        <v>185</v>
      </c>
      <c r="C12" s="49"/>
      <c r="D12" s="56">
        <v>4861.1318749999991</v>
      </c>
      <c r="E12" s="56">
        <f t="shared" ref="E12:F12" si="4">E6-E11</f>
        <v>5666.5875000000015</v>
      </c>
      <c r="F12" s="56">
        <f t="shared" si="4"/>
        <v>5792.8375000000015</v>
      </c>
      <c r="G12" s="56">
        <f t="shared" si="0"/>
        <v>126.25</v>
      </c>
      <c r="H12" s="49"/>
      <c r="I12" s="49"/>
      <c r="J12" s="49"/>
    </row>
    <row r="13" spans="1:10" ht="5.0999999999999996" customHeight="1" x14ac:dyDescent="0.25">
      <c r="A13" s="42"/>
      <c r="B13" s="42"/>
      <c r="C13" s="42"/>
      <c r="D13" s="55"/>
      <c r="E13" s="55"/>
      <c r="F13" s="55"/>
      <c r="G13" s="55"/>
      <c r="H13" s="42"/>
      <c r="I13" s="42"/>
      <c r="J13" s="42"/>
    </row>
    <row r="14" spans="1:10" x14ac:dyDescent="0.25">
      <c r="A14" s="42"/>
      <c r="B14" s="42" t="s">
        <v>181</v>
      </c>
      <c r="C14" s="42"/>
      <c r="D14" s="55"/>
      <c r="E14" s="55"/>
      <c r="F14" s="55"/>
      <c r="G14" s="55"/>
      <c r="H14" s="42"/>
      <c r="I14" s="42"/>
      <c r="J14" s="42"/>
    </row>
    <row r="15" spans="1:10" x14ac:dyDescent="0.25">
      <c r="A15" s="42"/>
      <c r="B15" s="42" t="s">
        <v>42</v>
      </c>
      <c r="C15" s="42"/>
      <c r="D15" s="55">
        <v>2820</v>
      </c>
      <c r="E15" s="55">
        <f>'[1]Management accounts'!F15</f>
        <v>2518.8000000000002</v>
      </c>
      <c r="F15" s="55">
        <f>'2324 concert'!E21</f>
        <v>2518.8000000000002</v>
      </c>
      <c r="G15" s="55">
        <f t="shared" ref="G15:G17" si="5">F15-E15</f>
        <v>0</v>
      </c>
      <c r="H15" s="42"/>
      <c r="I15" s="42"/>
      <c r="J15" s="42"/>
    </row>
    <row r="16" spans="1:10" x14ac:dyDescent="0.25">
      <c r="A16" s="42"/>
      <c r="B16" s="42" t="s">
        <v>16</v>
      </c>
      <c r="C16" s="42"/>
      <c r="D16" s="55">
        <v>2808.6224999999999</v>
      </c>
      <c r="E16" s="55">
        <f>'[1]Management accounts'!F16</f>
        <v>3179.1224999999999</v>
      </c>
      <c r="F16" s="55">
        <f>'2324 concert'!E48</f>
        <v>3179.1224999999999</v>
      </c>
      <c r="G16" s="55">
        <f>E16-F16</f>
        <v>0</v>
      </c>
      <c r="H16" s="42"/>
      <c r="I16" s="42"/>
      <c r="J16" s="42"/>
    </row>
    <row r="17" spans="1:18" s="7" customFormat="1" x14ac:dyDescent="0.25">
      <c r="A17" s="49"/>
      <c r="B17" s="49" t="s">
        <v>180</v>
      </c>
      <c r="C17" s="49"/>
      <c r="D17" s="56">
        <v>11.377500000000055</v>
      </c>
      <c r="E17" s="56">
        <f t="shared" ref="E17:F17" si="6">E15-E16</f>
        <v>-660.32249999999976</v>
      </c>
      <c r="F17" s="56">
        <f t="shared" si="6"/>
        <v>-660.32249999999976</v>
      </c>
      <c r="G17" s="56">
        <f t="shared" si="5"/>
        <v>0</v>
      </c>
      <c r="H17" s="49"/>
      <c r="I17" s="49"/>
      <c r="J17" s="49"/>
    </row>
    <row r="18" spans="1:18" ht="5.0999999999999996" customHeight="1" x14ac:dyDescent="0.25">
      <c r="A18" s="42"/>
      <c r="B18" s="42"/>
      <c r="C18" s="42"/>
      <c r="D18" s="55"/>
      <c r="E18" s="55"/>
      <c r="F18" s="55"/>
      <c r="G18" s="55"/>
      <c r="H18" s="42"/>
      <c r="I18" s="42"/>
      <c r="J18" s="42"/>
    </row>
    <row r="19" spans="1:18" x14ac:dyDescent="0.25">
      <c r="A19" s="42"/>
      <c r="B19" s="42" t="s">
        <v>182</v>
      </c>
      <c r="C19" s="42"/>
      <c r="D19" s="55"/>
      <c r="E19" s="55"/>
      <c r="F19" s="55"/>
      <c r="G19" s="55"/>
      <c r="H19" s="42"/>
      <c r="I19" s="42"/>
      <c r="J19" s="42"/>
    </row>
    <row r="20" spans="1:18" x14ac:dyDescent="0.25">
      <c r="A20" s="42"/>
      <c r="B20" s="42" t="s">
        <v>42</v>
      </c>
      <c r="C20" s="42"/>
      <c r="D20" s="55">
        <v>3556</v>
      </c>
      <c r="E20" s="55">
        <f>'[1]Management accounts'!F20</f>
        <v>3913</v>
      </c>
      <c r="F20" s="55">
        <f>'2324 concert'!F21</f>
        <v>3913</v>
      </c>
      <c r="G20" s="55">
        <f t="shared" ref="G20:G22" si="7">F20-E20</f>
        <v>0</v>
      </c>
      <c r="H20" s="42"/>
      <c r="I20" s="42"/>
      <c r="J20" s="42"/>
    </row>
    <row r="21" spans="1:18" x14ac:dyDescent="0.25">
      <c r="A21" s="42"/>
      <c r="B21" s="42" t="s">
        <v>16</v>
      </c>
      <c r="C21" s="42"/>
      <c r="D21" s="55">
        <v>3083.7925</v>
      </c>
      <c r="E21" s="55">
        <f>'[1]Management accounts'!F21</f>
        <v>2728.4949999999999</v>
      </c>
      <c r="F21" s="55">
        <f>'2324 concert'!F48</f>
        <v>2728.4949999999999</v>
      </c>
      <c r="G21" s="55">
        <f>E21-F21</f>
        <v>0</v>
      </c>
      <c r="H21" s="42"/>
      <c r="I21" s="42"/>
      <c r="J21" s="42"/>
    </row>
    <row r="22" spans="1:18" s="7" customFormat="1" x14ac:dyDescent="0.25">
      <c r="A22" s="49"/>
      <c r="B22" s="49" t="s">
        <v>180</v>
      </c>
      <c r="C22" s="49"/>
      <c r="D22" s="56">
        <v>472.20749999999998</v>
      </c>
      <c r="E22" s="56">
        <f t="shared" ref="E22:F22" si="8">E20-E21</f>
        <v>1184.5050000000001</v>
      </c>
      <c r="F22" s="56">
        <f t="shared" si="8"/>
        <v>1184.5050000000001</v>
      </c>
      <c r="G22" s="56">
        <f t="shared" si="7"/>
        <v>0</v>
      </c>
      <c r="H22" s="49"/>
      <c r="I22" s="49"/>
      <c r="J22" s="49"/>
    </row>
    <row r="23" spans="1:18" ht="5.0999999999999996" customHeight="1" x14ac:dyDescent="0.25">
      <c r="A23" s="42"/>
      <c r="B23" s="42"/>
      <c r="C23" s="42"/>
      <c r="D23" s="55"/>
      <c r="E23" s="55"/>
      <c r="F23" s="55"/>
      <c r="G23" s="55"/>
      <c r="H23" s="42"/>
      <c r="I23" s="42"/>
      <c r="J23" s="42"/>
    </row>
    <row r="24" spans="1:18" x14ac:dyDescent="0.25">
      <c r="A24" s="42"/>
      <c r="B24" s="42" t="s">
        <v>8</v>
      </c>
      <c r="C24" s="42"/>
      <c r="D24" s="55"/>
      <c r="E24" s="55"/>
      <c r="F24" s="55"/>
      <c r="G24" s="55"/>
      <c r="H24" s="42"/>
      <c r="I24" s="42"/>
      <c r="J24" s="42"/>
    </row>
    <row r="25" spans="1:18" x14ac:dyDescent="0.25">
      <c r="A25" s="42"/>
      <c r="B25" s="42" t="s">
        <v>42</v>
      </c>
      <c r="C25" s="42"/>
      <c r="D25" s="55">
        <v>3500</v>
      </c>
      <c r="E25" s="55">
        <f>'[1]Management accounts'!F25</f>
        <v>2642.1</v>
      </c>
      <c r="F25" s="55">
        <f>'SD summary'!J16</f>
        <v>2642.1</v>
      </c>
      <c r="G25" s="55">
        <f t="shared" ref="G25:G27" si="9">F25-E25</f>
        <v>0</v>
      </c>
      <c r="H25" s="42"/>
      <c r="I25" s="42"/>
      <c r="J25" s="42"/>
    </row>
    <row r="26" spans="1:18" x14ac:dyDescent="0.25">
      <c r="A26" s="42"/>
      <c r="B26" s="42" t="s">
        <v>16</v>
      </c>
      <c r="C26" s="42"/>
      <c r="D26" s="55">
        <v>3327.61</v>
      </c>
      <c r="E26" s="55">
        <f>'[1]Management accounts'!F26</f>
        <v>2148.61</v>
      </c>
      <c r="F26" s="55">
        <f>'SD summary'!J36</f>
        <v>2095.61</v>
      </c>
      <c r="G26" s="55">
        <f>E26-F26</f>
        <v>53</v>
      </c>
      <c r="H26" s="42"/>
      <c r="I26" s="42"/>
      <c r="J26" s="42"/>
    </row>
    <row r="27" spans="1:18" s="7" customFormat="1" x14ac:dyDescent="0.25">
      <c r="A27" s="49"/>
      <c r="B27" s="49" t="s">
        <v>180</v>
      </c>
      <c r="C27" s="49"/>
      <c r="D27" s="56">
        <v>172.38999999999987</v>
      </c>
      <c r="E27" s="56">
        <f t="shared" ref="E27:F27" si="10">E25-E26</f>
        <v>493.48999999999978</v>
      </c>
      <c r="F27" s="56">
        <f t="shared" si="10"/>
        <v>546.48999999999978</v>
      </c>
      <c r="G27" s="56">
        <f t="shared" si="9"/>
        <v>53</v>
      </c>
      <c r="H27" s="49"/>
      <c r="I27" s="49"/>
      <c r="J27" s="49"/>
    </row>
    <row r="28" spans="1:18" ht="5.0999999999999996" customHeight="1" x14ac:dyDescent="0.25">
      <c r="A28" s="42"/>
      <c r="B28" s="42"/>
      <c r="C28" s="42"/>
      <c r="D28" s="55"/>
      <c r="E28" s="55"/>
      <c r="F28" s="55"/>
      <c r="G28" s="55"/>
      <c r="H28" s="42"/>
      <c r="I28" s="42"/>
      <c r="J28" s="42"/>
    </row>
    <row r="29" spans="1:18" x14ac:dyDescent="0.25">
      <c r="A29" s="42"/>
      <c r="B29" s="42" t="s">
        <v>183</v>
      </c>
      <c r="C29" s="42"/>
      <c r="D29" s="55"/>
      <c r="E29" s="55"/>
      <c r="F29" s="55"/>
      <c r="G29" s="55"/>
      <c r="H29" s="42"/>
      <c r="I29" s="42"/>
      <c r="J29" s="42"/>
    </row>
    <row r="30" spans="1:18" x14ac:dyDescent="0.25">
      <c r="A30" s="42"/>
      <c r="B30" s="42" t="s">
        <v>42</v>
      </c>
      <c r="C30" s="42"/>
      <c r="D30" s="55">
        <v>3160</v>
      </c>
      <c r="E30" s="55">
        <f>'[1]Management accounts'!F30</f>
        <v>2305</v>
      </c>
      <c r="F30" s="55">
        <f>'2324 concert'!G21</f>
        <v>3207</v>
      </c>
      <c r="G30" s="55">
        <f t="shared" ref="G30:G32" si="11">F30-E30</f>
        <v>902</v>
      </c>
      <c r="H30" s="42"/>
      <c r="I30" s="42" t="s">
        <v>210</v>
      </c>
      <c r="J30" s="42"/>
    </row>
    <row r="31" spans="1:18" x14ac:dyDescent="0.25">
      <c r="A31" s="42"/>
      <c r="B31" s="42" t="s">
        <v>16</v>
      </c>
      <c r="C31" s="42"/>
      <c r="D31" s="55">
        <v>5898.4949999999999</v>
      </c>
      <c r="E31" s="55">
        <f>'[1]Management accounts'!F31</f>
        <v>5797.4949999999999</v>
      </c>
      <c r="F31" s="55">
        <f>'2324 concert'!G48</f>
        <v>6373.4949999999999</v>
      </c>
      <c r="G31" s="55">
        <f>E31-F31</f>
        <v>-576</v>
      </c>
      <c r="H31" s="42"/>
      <c r="I31" s="42"/>
      <c r="J31" s="42"/>
    </row>
    <row r="32" spans="1:18" s="7" customFormat="1" x14ac:dyDescent="0.25">
      <c r="A32" s="49"/>
      <c r="B32" s="49" t="s">
        <v>180</v>
      </c>
      <c r="C32" s="49"/>
      <c r="D32" s="56">
        <v>-2738.4949999999999</v>
      </c>
      <c r="E32" s="56">
        <f t="shared" ref="E32:F32" si="12">E30-E31</f>
        <v>-3492.4949999999999</v>
      </c>
      <c r="F32" s="56">
        <f t="shared" si="12"/>
        <v>-3166.4949999999999</v>
      </c>
      <c r="G32" s="56">
        <f t="shared" si="11"/>
        <v>326</v>
      </c>
      <c r="H32" s="49"/>
      <c r="I32" s="49"/>
      <c r="J32" s="49"/>
      <c r="R32" s="7">
        <v>21656.42</v>
      </c>
    </row>
    <row r="33" spans="1:10" ht="5.0999999999999996" customHeight="1" x14ac:dyDescent="0.25">
      <c r="A33" s="42"/>
      <c r="B33" s="42"/>
      <c r="C33" s="42"/>
      <c r="D33" s="55"/>
      <c r="E33" s="55"/>
      <c r="F33" s="55"/>
      <c r="G33" s="55"/>
      <c r="H33" s="42"/>
      <c r="I33" s="42"/>
      <c r="J33" s="42"/>
    </row>
    <row r="34" spans="1:10" x14ac:dyDescent="0.25">
      <c r="A34" s="42"/>
      <c r="B34" s="42" t="s">
        <v>184</v>
      </c>
      <c r="C34" s="42"/>
      <c r="D34" s="55"/>
      <c r="E34" s="55"/>
      <c r="F34" s="55"/>
      <c r="G34" s="55"/>
      <c r="H34" s="42"/>
      <c r="I34" s="42"/>
      <c r="J34" s="42"/>
    </row>
    <row r="35" spans="1:10" x14ac:dyDescent="0.25">
      <c r="A35" s="42"/>
      <c r="B35" s="42" t="s">
        <v>42</v>
      </c>
      <c r="C35" s="42"/>
      <c r="D35" s="55">
        <v>7080</v>
      </c>
      <c r="E35" s="55">
        <f>'[1]Management accounts'!F35</f>
        <v>7210</v>
      </c>
      <c r="F35" s="55">
        <f>'2324 concert'!H21</f>
        <v>7210</v>
      </c>
      <c r="G35" s="55">
        <f t="shared" ref="G35:G37" si="13">F35-E35</f>
        <v>0</v>
      </c>
      <c r="H35" s="42"/>
      <c r="I35" s="42"/>
      <c r="J35" s="42"/>
    </row>
    <row r="36" spans="1:10" x14ac:dyDescent="0.25">
      <c r="A36" s="42"/>
      <c r="B36" s="42" t="s">
        <v>16</v>
      </c>
      <c r="C36" s="42"/>
      <c r="D36" s="55">
        <v>8149.6224999999995</v>
      </c>
      <c r="E36" s="55">
        <f>'[1]Management accounts'!F36</f>
        <v>8746.1224999999995</v>
      </c>
      <c r="F36" s="55">
        <f>'2324 concert'!H48</f>
        <v>8833.6224999999995</v>
      </c>
      <c r="G36" s="55">
        <f>E36-F36</f>
        <v>-87.5</v>
      </c>
      <c r="H36" s="42"/>
      <c r="I36" s="42"/>
      <c r="J36" s="42"/>
    </row>
    <row r="37" spans="1:10" s="7" customFormat="1" x14ac:dyDescent="0.25">
      <c r="A37" s="49"/>
      <c r="B37" s="49" t="s">
        <v>180</v>
      </c>
      <c r="C37" s="49"/>
      <c r="D37" s="56">
        <v>-1069.6224999999995</v>
      </c>
      <c r="E37" s="56">
        <f t="shared" ref="E37:F37" si="14">E35-E36</f>
        <v>-1536.1224999999995</v>
      </c>
      <c r="F37" s="56">
        <f t="shared" si="14"/>
        <v>-1623.6224999999995</v>
      </c>
      <c r="G37" s="56">
        <f t="shared" si="13"/>
        <v>-87.5</v>
      </c>
      <c r="H37" s="49"/>
      <c r="I37" s="49"/>
      <c r="J37" s="49"/>
    </row>
    <row r="38" spans="1:10" ht="5.0999999999999996" customHeight="1" x14ac:dyDescent="0.25">
      <c r="A38" s="42"/>
      <c r="B38" s="42"/>
      <c r="C38" s="42"/>
      <c r="D38" s="55"/>
      <c r="E38" s="55"/>
      <c r="F38" s="55"/>
      <c r="G38" s="55"/>
      <c r="H38" s="42"/>
      <c r="I38" s="42"/>
      <c r="J38" s="42"/>
    </row>
    <row r="39" spans="1:10" s="7" customFormat="1" x14ac:dyDescent="0.25">
      <c r="A39" s="49"/>
      <c r="B39" s="49" t="s">
        <v>207</v>
      </c>
      <c r="C39" s="49"/>
      <c r="D39" s="56">
        <v>-3152.1424999999995</v>
      </c>
      <c r="E39" s="56">
        <f t="shared" ref="E39:F39" si="15">E17+E22+E27+E32+E37</f>
        <v>-4010.9449999999993</v>
      </c>
      <c r="F39" s="56">
        <f t="shared" si="15"/>
        <v>-3719.4449999999993</v>
      </c>
      <c r="G39" s="56">
        <f>F39-E39</f>
        <v>291.5</v>
      </c>
      <c r="H39" s="49"/>
      <c r="I39" s="49"/>
      <c r="J39" s="49"/>
    </row>
    <row r="40" spans="1:10" ht="5.0999999999999996" customHeight="1" x14ac:dyDescent="0.25">
      <c r="A40" s="42"/>
      <c r="B40" s="42"/>
      <c r="C40" s="42"/>
      <c r="D40" s="55"/>
      <c r="E40" s="55"/>
      <c r="F40" s="55"/>
      <c r="G40" s="55"/>
      <c r="H40" s="42"/>
      <c r="I40" s="42"/>
      <c r="J40" s="42"/>
    </row>
    <row r="41" spans="1:10" s="7" customFormat="1" x14ac:dyDescent="0.25">
      <c r="A41" s="49"/>
      <c r="B41" s="49" t="s">
        <v>100</v>
      </c>
      <c r="C41" s="49"/>
      <c r="D41" s="56">
        <v>1708.9893749999997</v>
      </c>
      <c r="E41" s="56">
        <f t="shared" ref="E41:F41" si="16">E39+E12</f>
        <v>1655.6425000000022</v>
      </c>
      <c r="F41" s="56">
        <f t="shared" si="16"/>
        <v>2073.3925000000022</v>
      </c>
      <c r="G41" s="56">
        <f>F41-E41</f>
        <v>417.75</v>
      </c>
      <c r="H41" s="49"/>
      <c r="I41" s="49"/>
      <c r="J41" s="49"/>
    </row>
    <row r="42" spans="1:10" ht="5.0999999999999996" customHeight="1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2"/>
  <sheetViews>
    <sheetView workbookViewId="0">
      <selection activeCell="J34" sqref="J34"/>
    </sheetView>
  </sheetViews>
  <sheetFormatPr defaultColWidth="8.7109375" defaultRowHeight="15" x14ac:dyDescent="0.25"/>
  <cols>
    <col min="1" max="2" width="1.5703125" customWidth="1"/>
    <col min="3" max="3" width="33.85546875" bestFit="1" customWidth="1"/>
    <col min="4" max="4" width="1.5703125" customWidth="1"/>
    <col min="5" max="10" width="10.5703125" customWidth="1"/>
    <col min="11" max="12" width="1.5703125" customWidth="1"/>
    <col min="13" max="13" width="12" customWidth="1"/>
  </cols>
  <sheetData>
    <row r="1" spans="1:14" ht="5.0999999999999996" customHeight="1" thickBot="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5.0999999999999996" customHeight="1" x14ac:dyDescent="0.25">
      <c r="A2" s="42"/>
      <c r="B2" s="43"/>
      <c r="C2" s="44"/>
      <c r="D2" s="44"/>
      <c r="E2" s="44"/>
      <c r="F2" s="44"/>
      <c r="G2" s="44"/>
      <c r="H2" s="44"/>
      <c r="I2" s="44"/>
      <c r="J2" s="44"/>
      <c r="K2" s="45"/>
      <c r="L2" s="42"/>
    </row>
    <row r="3" spans="1:14" x14ac:dyDescent="0.25">
      <c r="A3" s="42"/>
      <c r="B3" s="46"/>
      <c r="C3" s="49" t="s">
        <v>0</v>
      </c>
      <c r="D3" s="42"/>
      <c r="E3" s="42"/>
      <c r="F3" s="42"/>
      <c r="G3" s="42"/>
      <c r="H3" s="42"/>
      <c r="I3" s="42"/>
      <c r="J3" s="42"/>
      <c r="K3" s="48"/>
      <c r="L3" s="42"/>
    </row>
    <row r="4" spans="1:14" x14ac:dyDescent="0.25">
      <c r="A4" s="42"/>
      <c r="B4" s="46"/>
      <c r="C4" s="49" t="s">
        <v>83</v>
      </c>
      <c r="D4" s="42"/>
      <c r="E4" s="42"/>
      <c r="F4" s="42"/>
      <c r="G4" s="42"/>
      <c r="H4" s="42"/>
      <c r="I4" s="42"/>
      <c r="J4" s="42"/>
      <c r="K4" s="48"/>
      <c r="L4" s="42"/>
    </row>
    <row r="5" spans="1:14" x14ac:dyDescent="0.25">
      <c r="A5" s="42"/>
      <c r="B5" s="46"/>
      <c r="C5" s="49" t="s">
        <v>95</v>
      </c>
      <c r="D5" s="42"/>
      <c r="E5" s="42"/>
      <c r="F5" s="42"/>
      <c r="G5" s="42"/>
      <c r="H5" s="42"/>
      <c r="I5" s="42"/>
      <c r="J5" s="42"/>
      <c r="K5" s="48"/>
      <c r="L5" s="42"/>
    </row>
    <row r="6" spans="1:14" ht="5.0999999999999996" customHeight="1" x14ac:dyDescent="0.25">
      <c r="A6" s="42"/>
      <c r="B6" s="46"/>
      <c r="C6" s="42"/>
      <c r="D6" s="42"/>
      <c r="E6" s="42"/>
      <c r="F6" s="42"/>
      <c r="G6" s="42"/>
      <c r="H6" s="42"/>
      <c r="I6" s="42"/>
      <c r="J6" s="42"/>
      <c r="K6" s="48"/>
      <c r="L6" s="42"/>
    </row>
    <row r="7" spans="1:14" s="7" customFormat="1" ht="14.45" customHeight="1" x14ac:dyDescent="0.25">
      <c r="A7" s="49"/>
      <c r="B7" s="50"/>
      <c r="C7" s="49"/>
      <c r="D7" s="49"/>
      <c r="E7" s="51" t="s">
        <v>91</v>
      </c>
      <c r="F7" s="51" t="s">
        <v>1</v>
      </c>
      <c r="G7" s="51" t="s">
        <v>87</v>
      </c>
      <c r="H7" s="51" t="s">
        <v>88</v>
      </c>
      <c r="I7" s="51" t="s">
        <v>89</v>
      </c>
      <c r="J7" s="51" t="s">
        <v>90</v>
      </c>
      <c r="K7" s="52"/>
      <c r="L7" s="49"/>
    </row>
    <row r="8" spans="1:14" s="7" customFormat="1" ht="14.45" customHeight="1" x14ac:dyDescent="0.25">
      <c r="A8" s="49"/>
      <c r="B8" s="50"/>
      <c r="C8" s="49"/>
      <c r="D8" s="49"/>
      <c r="E8" s="51" t="s">
        <v>92</v>
      </c>
      <c r="F8" s="51" t="s">
        <v>93</v>
      </c>
      <c r="G8" s="51" t="s">
        <v>93</v>
      </c>
      <c r="H8" s="51" t="s">
        <v>93</v>
      </c>
      <c r="I8" s="51" t="s">
        <v>93</v>
      </c>
      <c r="J8" s="51" t="s">
        <v>93</v>
      </c>
      <c r="K8" s="52"/>
      <c r="L8" s="49"/>
    </row>
    <row r="9" spans="1:14" ht="5.0999999999999996" customHeight="1" x14ac:dyDescent="0.25">
      <c r="A9" s="42"/>
      <c r="B9" s="46"/>
      <c r="C9" s="42"/>
      <c r="D9" s="42"/>
      <c r="E9" s="42"/>
      <c r="F9" s="42"/>
      <c r="G9" s="42"/>
      <c r="H9" s="42"/>
      <c r="I9" s="42"/>
      <c r="J9" s="42"/>
      <c r="K9" s="48"/>
      <c r="L9" s="42"/>
    </row>
    <row r="10" spans="1:14" ht="14.45" customHeight="1" x14ac:dyDescent="0.25">
      <c r="A10" s="42"/>
      <c r="B10" s="46"/>
      <c r="C10" s="42" t="s">
        <v>97</v>
      </c>
      <c r="D10" s="42"/>
      <c r="E10" s="55">
        <v>106</v>
      </c>
      <c r="F10" s="55">
        <v>104</v>
      </c>
      <c r="G10" s="55">
        <v>93</v>
      </c>
      <c r="H10" s="55">
        <v>100</v>
      </c>
      <c r="I10" s="55">
        <v>93</v>
      </c>
      <c r="J10" s="55">
        <v>90</v>
      </c>
      <c r="K10" s="48"/>
      <c r="L10" s="42"/>
    </row>
    <row r="11" spans="1:14" ht="14.45" customHeight="1" x14ac:dyDescent="0.25">
      <c r="A11" s="42"/>
      <c r="B11" s="46"/>
      <c r="C11" s="42" t="s">
        <v>98</v>
      </c>
      <c r="D11" s="42"/>
      <c r="E11" s="55">
        <v>150</v>
      </c>
      <c r="F11" s="55">
        <v>170</v>
      </c>
      <c r="G11" s="55">
        <v>170</v>
      </c>
      <c r="H11" s="55">
        <v>170</v>
      </c>
      <c r="I11" s="55">
        <v>180</v>
      </c>
      <c r="J11" s="55">
        <v>196</v>
      </c>
      <c r="K11" s="48"/>
      <c r="L11" s="42"/>
      <c r="M11">
        <f>H11*1.09</f>
        <v>185.3</v>
      </c>
      <c r="N11">
        <f>I11*1.089</f>
        <v>196.01999999999998</v>
      </c>
    </row>
    <row r="12" spans="1:14" ht="14.45" customHeight="1" x14ac:dyDescent="0.25">
      <c r="A12" s="42"/>
      <c r="B12" s="46"/>
      <c r="C12" s="42" t="s">
        <v>103</v>
      </c>
      <c r="D12" s="42"/>
      <c r="E12" s="60">
        <f>81/107</f>
        <v>0.7570093457943925</v>
      </c>
      <c r="F12" s="60">
        <v>0.83599999999999997</v>
      </c>
      <c r="G12" s="60">
        <v>0.84</v>
      </c>
      <c r="H12" s="61">
        <v>0.9</v>
      </c>
      <c r="I12" s="60">
        <v>0.83</v>
      </c>
      <c r="J12" s="60">
        <v>0.83</v>
      </c>
      <c r="K12" s="48"/>
      <c r="L12" s="42"/>
    </row>
    <row r="13" spans="1:14" ht="5.0999999999999996" customHeight="1" x14ac:dyDescent="0.25">
      <c r="A13" s="42"/>
      <c r="B13" s="46"/>
      <c r="C13" s="42"/>
      <c r="D13" s="42"/>
      <c r="E13" s="60"/>
      <c r="F13" s="60"/>
      <c r="G13" s="60"/>
      <c r="H13" s="61"/>
      <c r="I13" s="60"/>
      <c r="J13" s="60"/>
      <c r="K13" s="48"/>
      <c r="L13" s="42"/>
    </row>
    <row r="14" spans="1:14" ht="14.45" customHeight="1" x14ac:dyDescent="0.25">
      <c r="A14" s="42"/>
      <c r="B14" s="46"/>
      <c r="C14" s="42" t="s">
        <v>104</v>
      </c>
      <c r="D14" s="42"/>
      <c r="E14" s="55">
        <v>42</v>
      </c>
      <c r="F14" s="55">
        <v>42</v>
      </c>
      <c r="G14" s="55">
        <v>42</v>
      </c>
      <c r="H14" s="55">
        <v>42</v>
      </c>
      <c r="I14" s="55">
        <v>42</v>
      </c>
      <c r="J14" s="55">
        <v>40</v>
      </c>
      <c r="K14" s="48"/>
      <c r="L14" s="42"/>
    </row>
    <row r="15" spans="1:14" ht="14.45" customHeight="1" x14ac:dyDescent="0.25">
      <c r="A15" s="42"/>
      <c r="B15" s="46"/>
      <c r="C15" s="42" t="s">
        <v>21</v>
      </c>
      <c r="D15" s="42"/>
      <c r="E15" s="55">
        <v>3</v>
      </c>
      <c r="F15" s="55">
        <v>5</v>
      </c>
      <c r="G15" s="55">
        <v>0</v>
      </c>
      <c r="H15" s="55">
        <v>2</v>
      </c>
      <c r="I15" s="55">
        <v>0</v>
      </c>
      <c r="J15" s="55">
        <v>0</v>
      </c>
      <c r="K15" s="48"/>
      <c r="L15" s="42"/>
    </row>
    <row r="16" spans="1:14" ht="14.45" customHeight="1" x14ac:dyDescent="0.25">
      <c r="A16" s="42"/>
      <c r="B16" s="46"/>
      <c r="C16" s="42" t="s">
        <v>113</v>
      </c>
      <c r="D16" s="42"/>
      <c r="E16" s="55">
        <v>9</v>
      </c>
      <c r="F16" s="55">
        <v>13</v>
      </c>
      <c r="G16" s="55">
        <v>8</v>
      </c>
      <c r="H16" s="55">
        <v>0</v>
      </c>
      <c r="I16" s="55">
        <v>0</v>
      </c>
      <c r="J16" s="55">
        <v>0</v>
      </c>
      <c r="K16" s="48"/>
      <c r="L16" s="42"/>
    </row>
    <row r="17" spans="1:16" ht="14.45" customHeight="1" x14ac:dyDescent="0.25">
      <c r="A17" s="42"/>
      <c r="B17" s="46"/>
      <c r="C17" s="42" t="s">
        <v>108</v>
      </c>
      <c r="D17" s="42"/>
      <c r="E17" s="55">
        <f>E10*0.5/3</f>
        <v>17.666666666666668</v>
      </c>
      <c r="F17" s="55">
        <f>F10*0.5/3</f>
        <v>17.333333333333332</v>
      </c>
      <c r="G17" s="55">
        <v>0</v>
      </c>
      <c r="H17" s="55">
        <v>0</v>
      </c>
      <c r="I17" s="55">
        <f>I10*0.5/3</f>
        <v>15.5</v>
      </c>
      <c r="J17" s="55">
        <f>J10*0.5/3</f>
        <v>15</v>
      </c>
      <c r="K17" s="48"/>
      <c r="L17" s="42"/>
    </row>
    <row r="18" spans="1:16" ht="14.45" customHeight="1" x14ac:dyDescent="0.25">
      <c r="A18" s="42"/>
      <c r="B18" s="46"/>
      <c r="C18" s="42" t="s">
        <v>112</v>
      </c>
      <c r="D18" s="42"/>
      <c r="E18" s="55">
        <v>2</v>
      </c>
      <c r="F18" s="55">
        <v>1</v>
      </c>
      <c r="G18" s="55">
        <v>0</v>
      </c>
      <c r="H18" s="55">
        <v>1</v>
      </c>
      <c r="I18" s="55">
        <v>0</v>
      </c>
      <c r="J18" s="55">
        <v>1</v>
      </c>
      <c r="K18" s="48"/>
      <c r="L18" s="42"/>
    </row>
    <row r="19" spans="1:16" ht="5.0999999999999996" customHeight="1" x14ac:dyDescent="0.25">
      <c r="A19" s="42"/>
      <c r="B19" s="46"/>
      <c r="C19" s="42"/>
      <c r="D19" s="42"/>
      <c r="E19" s="55"/>
      <c r="F19" s="55"/>
      <c r="G19" s="55"/>
      <c r="H19" s="55"/>
      <c r="I19" s="55"/>
      <c r="J19" s="55"/>
      <c r="K19" s="48"/>
      <c r="L19" s="42"/>
    </row>
    <row r="20" spans="1:16" ht="14.45" customHeight="1" x14ac:dyDescent="0.25">
      <c r="A20" s="42"/>
      <c r="B20" s="46"/>
      <c r="C20" s="42" t="s">
        <v>109</v>
      </c>
      <c r="D20" s="42"/>
      <c r="E20" s="55">
        <v>162</v>
      </c>
      <c r="F20" s="55">
        <v>165</v>
      </c>
      <c r="G20" s="55">
        <f>F20*1.02</f>
        <v>168.3</v>
      </c>
      <c r="H20" s="72">
        <v>172</v>
      </c>
      <c r="I20" s="55">
        <f>H20*1.05</f>
        <v>180.6</v>
      </c>
      <c r="J20" s="55">
        <v>215</v>
      </c>
      <c r="K20" s="48"/>
      <c r="L20" s="42"/>
    </row>
    <row r="21" spans="1:16" ht="14.45" customHeight="1" x14ac:dyDescent="0.25">
      <c r="A21" s="42"/>
      <c r="B21" s="46"/>
      <c r="C21" s="42" t="s">
        <v>110</v>
      </c>
      <c r="D21" s="42"/>
      <c r="E21" s="55">
        <v>50</v>
      </c>
      <c r="F21" s="55">
        <f>E21*1.02</f>
        <v>51</v>
      </c>
      <c r="G21" s="55">
        <f>F21*1.02</f>
        <v>52.02</v>
      </c>
      <c r="H21" s="72">
        <v>53</v>
      </c>
      <c r="I21" s="55">
        <f t="shared" ref="I21:I27" si="0">H21*1.05</f>
        <v>55.650000000000006</v>
      </c>
      <c r="J21" s="55">
        <f t="shared" ref="J21:J27" si="1">I21*1.05</f>
        <v>58.432500000000012</v>
      </c>
      <c r="K21" s="48"/>
      <c r="L21" s="42"/>
    </row>
    <row r="22" spans="1:16" ht="14.45" customHeight="1" x14ac:dyDescent="0.25">
      <c r="A22" s="42"/>
      <c r="B22" s="46"/>
      <c r="C22" s="42" t="s">
        <v>111</v>
      </c>
      <c r="D22" s="42"/>
      <c r="E22" s="55">
        <v>80</v>
      </c>
      <c r="F22" s="55">
        <v>80</v>
      </c>
      <c r="G22" s="55">
        <v>80</v>
      </c>
      <c r="H22" s="72">
        <v>80</v>
      </c>
      <c r="I22" s="55">
        <v>84</v>
      </c>
      <c r="J22" s="55">
        <f t="shared" si="1"/>
        <v>88.2</v>
      </c>
      <c r="K22" s="48"/>
      <c r="L22" s="42"/>
    </row>
    <row r="23" spans="1:16" ht="14.45" customHeight="1" x14ac:dyDescent="0.25">
      <c r="A23" s="42"/>
      <c r="B23" s="46"/>
      <c r="C23" s="42" t="s">
        <v>127</v>
      </c>
      <c r="D23" s="42"/>
      <c r="E23" s="55">
        <v>775</v>
      </c>
      <c r="F23" s="55">
        <v>791</v>
      </c>
      <c r="G23" s="55">
        <f t="shared" ref="G23:G28" si="2">F23*1.02</f>
        <v>806.82</v>
      </c>
      <c r="H23" s="72">
        <v>823</v>
      </c>
      <c r="I23" s="55">
        <f t="shared" si="0"/>
        <v>864.15000000000009</v>
      </c>
      <c r="J23" s="55">
        <f t="shared" si="1"/>
        <v>907.35750000000019</v>
      </c>
      <c r="K23" s="48"/>
      <c r="L23" s="42"/>
    </row>
    <row r="24" spans="1:16" ht="14.45" customHeight="1" x14ac:dyDescent="0.25">
      <c r="A24" s="42"/>
      <c r="B24" s="46"/>
      <c r="C24" s="42" t="s">
        <v>131</v>
      </c>
      <c r="D24" s="42"/>
      <c r="E24" s="55">
        <v>649</v>
      </c>
      <c r="F24" s="55">
        <v>662</v>
      </c>
      <c r="G24" s="55">
        <f t="shared" si="2"/>
        <v>675.24</v>
      </c>
      <c r="H24" s="72">
        <v>689</v>
      </c>
      <c r="I24" s="55">
        <f t="shared" si="0"/>
        <v>723.45</v>
      </c>
      <c r="J24" s="55">
        <f t="shared" si="1"/>
        <v>759.62250000000006</v>
      </c>
      <c r="K24" s="48"/>
      <c r="L24" s="42"/>
      <c r="P24">
        <f>181+101+56.25</f>
        <v>338.25</v>
      </c>
    </row>
    <row r="25" spans="1:16" ht="14.45" customHeight="1" x14ac:dyDescent="0.25">
      <c r="A25" s="42"/>
      <c r="B25" s="46"/>
      <c r="C25" s="42" t="s">
        <v>128</v>
      </c>
      <c r="D25" s="42"/>
      <c r="E25" s="55">
        <v>90</v>
      </c>
      <c r="F25" s="55">
        <v>92</v>
      </c>
      <c r="G25" s="55">
        <f t="shared" si="2"/>
        <v>93.84</v>
      </c>
      <c r="H25" s="72">
        <v>96</v>
      </c>
      <c r="I25" s="55">
        <f t="shared" si="0"/>
        <v>100.80000000000001</v>
      </c>
      <c r="J25" s="55">
        <v>120</v>
      </c>
      <c r="K25" s="48"/>
      <c r="L25" s="42"/>
      <c r="P25">
        <f>P24*3</f>
        <v>1014.75</v>
      </c>
    </row>
    <row r="26" spans="1:16" ht="14.45" customHeight="1" x14ac:dyDescent="0.25">
      <c r="A26" s="42"/>
      <c r="B26" s="46"/>
      <c r="C26" s="42" t="s">
        <v>129</v>
      </c>
      <c r="D26" s="42"/>
      <c r="E26" s="55">
        <v>434</v>
      </c>
      <c r="F26" s="55">
        <v>443</v>
      </c>
      <c r="G26" s="55">
        <f t="shared" si="2"/>
        <v>451.86</v>
      </c>
      <c r="H26" s="72">
        <v>461</v>
      </c>
      <c r="I26" s="55">
        <f t="shared" si="0"/>
        <v>484.05</v>
      </c>
      <c r="J26" s="55">
        <f t="shared" si="1"/>
        <v>508.25250000000005</v>
      </c>
      <c r="K26" s="48"/>
      <c r="L26" s="42"/>
    </row>
    <row r="27" spans="1:16" ht="14.45" customHeight="1" x14ac:dyDescent="0.25">
      <c r="A27" s="42"/>
      <c r="B27" s="46"/>
      <c r="C27" s="42" t="s">
        <v>132</v>
      </c>
      <c r="D27" s="42"/>
      <c r="E27" s="55">
        <v>367</v>
      </c>
      <c r="F27" s="55">
        <v>374</v>
      </c>
      <c r="G27" s="55">
        <f t="shared" si="2"/>
        <v>381.48</v>
      </c>
      <c r="H27" s="72">
        <v>389</v>
      </c>
      <c r="I27" s="55">
        <f t="shared" si="0"/>
        <v>408.45000000000005</v>
      </c>
      <c r="J27" s="55">
        <f t="shared" si="1"/>
        <v>428.87250000000006</v>
      </c>
      <c r="K27" s="48"/>
      <c r="L27" s="42"/>
    </row>
    <row r="28" spans="1:16" ht="14.45" customHeight="1" x14ac:dyDescent="0.25">
      <c r="A28" s="42"/>
      <c r="B28" s="46"/>
      <c r="C28" s="42" t="s">
        <v>105</v>
      </c>
      <c r="D28" s="42"/>
      <c r="E28" s="55">
        <v>80</v>
      </c>
      <c r="F28" s="55">
        <v>82</v>
      </c>
      <c r="G28" s="55">
        <f t="shared" si="2"/>
        <v>83.64</v>
      </c>
      <c r="H28" s="72">
        <v>80</v>
      </c>
      <c r="I28" s="55">
        <v>84</v>
      </c>
      <c r="J28" s="55">
        <f>I28*1.05</f>
        <v>88.2</v>
      </c>
      <c r="K28" s="48"/>
      <c r="L28" s="42"/>
    </row>
    <row r="29" spans="1:16" ht="5.0999999999999996" customHeight="1" x14ac:dyDescent="0.25">
      <c r="A29" s="42"/>
      <c r="B29" s="46"/>
      <c r="C29" s="42"/>
      <c r="D29" s="42"/>
      <c r="E29" s="55"/>
      <c r="F29" s="55"/>
      <c r="G29" s="55"/>
      <c r="H29" s="55"/>
      <c r="I29" s="55"/>
      <c r="J29" s="55"/>
      <c r="K29" s="48"/>
      <c r="L29" s="42"/>
    </row>
    <row r="30" spans="1:16" ht="14.45" customHeight="1" x14ac:dyDescent="0.25">
      <c r="A30" s="42"/>
      <c r="B30" s="46"/>
      <c r="C30" s="42" t="s">
        <v>106</v>
      </c>
      <c r="D30" s="42"/>
      <c r="E30" s="55">
        <v>56</v>
      </c>
      <c r="F30" s="55">
        <v>56</v>
      </c>
      <c r="G30" s="55">
        <v>56</v>
      </c>
      <c r="H30" s="55">
        <v>56</v>
      </c>
      <c r="I30" s="55">
        <f>3*18.75</f>
        <v>56.25</v>
      </c>
      <c r="J30" s="55">
        <f>3*18.75</f>
        <v>56.25</v>
      </c>
      <c r="K30" s="48"/>
      <c r="L30" s="42"/>
    </row>
    <row r="31" spans="1:16" ht="14.45" customHeight="1" x14ac:dyDescent="0.25">
      <c r="A31" s="42"/>
      <c r="B31" s="46"/>
      <c r="C31" s="42" t="s">
        <v>107</v>
      </c>
      <c r="D31" s="42"/>
      <c r="E31" s="55">
        <v>67.5</v>
      </c>
      <c r="F31" s="55">
        <v>67.5</v>
      </c>
      <c r="G31" s="55">
        <f>F31*1.02</f>
        <v>68.849999999999994</v>
      </c>
      <c r="H31" s="55">
        <f>G31*1.02</f>
        <v>70.22699999999999</v>
      </c>
      <c r="I31" s="55">
        <v>70</v>
      </c>
      <c r="J31" s="55">
        <f>I31*1.05</f>
        <v>73.5</v>
      </c>
      <c r="K31" s="48"/>
      <c r="L31" s="42"/>
    </row>
    <row r="32" spans="1:16" ht="5.0999999999999996" customHeight="1" x14ac:dyDescent="0.25">
      <c r="A32" s="42"/>
      <c r="B32" s="46"/>
      <c r="C32" s="42"/>
      <c r="D32" s="42"/>
      <c r="E32" s="55"/>
      <c r="F32" s="55"/>
      <c r="G32" s="55"/>
      <c r="H32" s="55"/>
      <c r="I32" s="55"/>
      <c r="J32" s="55"/>
      <c r="K32" s="48"/>
      <c r="L32" s="42"/>
    </row>
    <row r="33" spans="1:12" ht="14.45" customHeight="1" x14ac:dyDescent="0.25">
      <c r="A33" s="42"/>
      <c r="B33" s="46"/>
      <c r="C33" s="42" t="s">
        <v>122</v>
      </c>
      <c r="D33" s="42"/>
      <c r="E33" s="55">
        <v>144</v>
      </c>
      <c r="F33" s="55">
        <v>155</v>
      </c>
      <c r="G33" s="55">
        <v>160</v>
      </c>
      <c r="H33" s="55">
        <v>60</v>
      </c>
      <c r="I33" s="55">
        <v>92</v>
      </c>
      <c r="J33" s="55">
        <v>90</v>
      </c>
      <c r="K33" s="48"/>
      <c r="L33" s="42"/>
    </row>
    <row r="34" spans="1:12" ht="14.45" customHeight="1" x14ac:dyDescent="0.25">
      <c r="A34" s="42"/>
      <c r="B34" s="46"/>
      <c r="C34" s="42" t="s">
        <v>124</v>
      </c>
      <c r="D34" s="42"/>
      <c r="E34" s="55">
        <v>22</v>
      </c>
      <c r="F34" s="55">
        <v>22</v>
      </c>
      <c r="G34" s="55">
        <v>22</v>
      </c>
      <c r="H34" s="55">
        <v>22</v>
      </c>
      <c r="I34" s="55">
        <v>22</v>
      </c>
      <c r="J34" s="55">
        <v>25</v>
      </c>
      <c r="K34" s="48"/>
      <c r="L34" s="42"/>
    </row>
    <row r="35" spans="1:12" ht="14.45" customHeight="1" x14ac:dyDescent="0.25">
      <c r="A35" s="42"/>
      <c r="B35" s="46"/>
      <c r="C35" s="42" t="s">
        <v>123</v>
      </c>
      <c r="D35" s="42"/>
      <c r="E35" s="55">
        <v>41</v>
      </c>
      <c r="F35" s="55">
        <v>47</v>
      </c>
      <c r="G35" s="55">
        <v>40</v>
      </c>
      <c r="H35" s="55">
        <v>20</v>
      </c>
      <c r="I35" s="55">
        <v>40</v>
      </c>
      <c r="J35" s="55">
        <v>40</v>
      </c>
      <c r="K35" s="48"/>
      <c r="L35" s="42"/>
    </row>
    <row r="36" spans="1:12" ht="14.45" customHeight="1" x14ac:dyDescent="0.25">
      <c r="A36" s="42"/>
      <c r="B36" s="46"/>
      <c r="C36" s="42" t="s">
        <v>125</v>
      </c>
      <c r="D36" s="42"/>
      <c r="E36" s="55">
        <v>5</v>
      </c>
      <c r="F36" s="55">
        <v>5</v>
      </c>
      <c r="G36" s="55">
        <v>5</v>
      </c>
      <c r="H36" s="55">
        <v>5</v>
      </c>
      <c r="I36" s="55">
        <v>5</v>
      </c>
      <c r="J36" s="55">
        <v>5</v>
      </c>
      <c r="K36" s="48"/>
      <c r="L36" s="42"/>
    </row>
    <row r="37" spans="1:12" s="7" customFormat="1" ht="5.0999999999999996" customHeight="1" x14ac:dyDescent="0.25">
      <c r="A37" s="49"/>
      <c r="B37" s="50"/>
      <c r="C37" s="49"/>
      <c r="D37" s="49"/>
      <c r="E37" s="56"/>
      <c r="F37" s="56"/>
      <c r="G37" s="56"/>
      <c r="H37" s="56"/>
      <c r="I37" s="56"/>
      <c r="J37" s="56"/>
      <c r="K37" s="52"/>
      <c r="L37" s="49"/>
    </row>
    <row r="38" spans="1:12" ht="14.45" customHeight="1" x14ac:dyDescent="0.25">
      <c r="A38" s="42"/>
      <c r="B38" s="46"/>
      <c r="C38" s="42" t="s">
        <v>140</v>
      </c>
      <c r="D38" s="42"/>
      <c r="E38" s="55">
        <v>16</v>
      </c>
      <c r="F38" s="55">
        <v>16</v>
      </c>
      <c r="G38" s="55">
        <v>17</v>
      </c>
      <c r="H38" s="55">
        <v>16</v>
      </c>
      <c r="I38" s="55">
        <v>16</v>
      </c>
      <c r="J38" s="55">
        <v>16</v>
      </c>
      <c r="K38" s="48"/>
      <c r="L38" s="42"/>
    </row>
    <row r="39" spans="1:12" ht="14.45" customHeight="1" x14ac:dyDescent="0.25">
      <c r="A39" s="42"/>
      <c r="B39" s="46"/>
      <c r="C39" s="42" t="s">
        <v>162</v>
      </c>
      <c r="D39" s="42"/>
      <c r="E39" s="55"/>
      <c r="F39" s="55"/>
      <c r="G39" s="55"/>
      <c r="H39" s="55"/>
      <c r="I39" s="55">
        <v>18</v>
      </c>
      <c r="J39" s="55">
        <v>18</v>
      </c>
      <c r="K39" s="48"/>
      <c r="L39" s="42"/>
    </row>
    <row r="40" spans="1:12" ht="14.45" customHeight="1" x14ac:dyDescent="0.25">
      <c r="A40" s="42"/>
      <c r="B40" s="46"/>
      <c r="C40" s="42" t="s">
        <v>141</v>
      </c>
      <c r="D40" s="42"/>
      <c r="E40" s="55">
        <v>14</v>
      </c>
      <c r="F40" s="55">
        <v>14</v>
      </c>
      <c r="G40" s="55">
        <v>15</v>
      </c>
      <c r="H40" s="55">
        <v>16</v>
      </c>
      <c r="I40" s="55">
        <v>16</v>
      </c>
      <c r="J40" s="55"/>
      <c r="K40" s="48"/>
      <c r="L40" s="42"/>
    </row>
    <row r="41" spans="1:12" ht="14.45" customHeight="1" x14ac:dyDescent="0.25">
      <c r="A41" s="42"/>
      <c r="B41" s="46"/>
      <c r="C41" s="42" t="s">
        <v>142</v>
      </c>
      <c r="D41" s="42"/>
      <c r="E41" s="55">
        <v>7</v>
      </c>
      <c r="F41" s="55">
        <v>7</v>
      </c>
      <c r="G41" s="55">
        <v>8</v>
      </c>
      <c r="H41" s="55">
        <v>10</v>
      </c>
      <c r="I41" s="55">
        <v>10</v>
      </c>
      <c r="J41" s="55">
        <v>10</v>
      </c>
      <c r="K41" s="48"/>
      <c r="L41" s="42"/>
    </row>
    <row r="42" spans="1:12" ht="5.0999999999999996" customHeight="1" x14ac:dyDescent="0.25">
      <c r="A42" s="42"/>
      <c r="B42" s="46"/>
      <c r="C42" s="42"/>
      <c r="D42" s="42"/>
      <c r="E42" s="55"/>
      <c r="F42" s="55"/>
      <c r="G42" s="55"/>
      <c r="H42" s="55"/>
      <c r="I42" s="55"/>
      <c r="J42" s="55"/>
      <c r="K42" s="48"/>
      <c r="L42" s="42"/>
    </row>
    <row r="43" spans="1:12" ht="14.45" customHeight="1" x14ac:dyDescent="0.25">
      <c r="A43" s="42"/>
      <c r="B43" s="46"/>
      <c r="C43" s="42" t="s">
        <v>146</v>
      </c>
      <c r="D43" s="42"/>
      <c r="E43" s="55">
        <v>495</v>
      </c>
      <c r="F43" s="55">
        <v>495</v>
      </c>
      <c r="G43" s="55">
        <f>F43*1.02</f>
        <v>504.90000000000003</v>
      </c>
      <c r="H43" s="55">
        <v>540</v>
      </c>
      <c r="I43" s="55">
        <v>540</v>
      </c>
      <c r="J43" s="55">
        <v>610</v>
      </c>
      <c r="K43" s="48"/>
      <c r="L43" s="42"/>
    </row>
    <row r="44" spans="1:12" ht="14.45" customHeight="1" x14ac:dyDescent="0.25">
      <c r="A44" s="42"/>
      <c r="B44" s="46"/>
      <c r="C44" s="42" t="s">
        <v>147</v>
      </c>
      <c r="D44" s="42"/>
      <c r="E44" s="55">
        <v>455</v>
      </c>
      <c r="F44" s="55">
        <v>455</v>
      </c>
      <c r="G44" s="55">
        <f>F44*1.02</f>
        <v>464.1</v>
      </c>
      <c r="H44" s="55">
        <f>G44*1.02</f>
        <v>473.38200000000001</v>
      </c>
      <c r="I44" s="55">
        <f>H44*1.02</f>
        <v>482.84964000000002</v>
      </c>
      <c r="J44" s="55">
        <f>I44*1.05</f>
        <v>506.99212200000005</v>
      </c>
      <c r="K44" s="48"/>
      <c r="L44" s="42"/>
    </row>
    <row r="45" spans="1:12" ht="14.45" customHeight="1" x14ac:dyDescent="0.25">
      <c r="A45" s="42"/>
      <c r="B45" s="46"/>
      <c r="C45" s="42" t="s">
        <v>148</v>
      </c>
      <c r="D45" s="42"/>
      <c r="E45" s="55">
        <v>1375</v>
      </c>
      <c r="F45" s="55">
        <v>1375</v>
      </c>
      <c r="G45" s="55">
        <v>1400</v>
      </c>
      <c r="H45" s="55">
        <f>1245*1.2</f>
        <v>1494</v>
      </c>
      <c r="I45" s="55">
        <f>H45*1.02</f>
        <v>1523.88</v>
      </c>
      <c r="J45" s="55">
        <f>I45*1.05</f>
        <v>1600.0740000000001</v>
      </c>
      <c r="K45" s="48"/>
      <c r="L45" s="42"/>
    </row>
    <row r="46" spans="1:12" ht="14.45" customHeight="1" x14ac:dyDescent="0.25">
      <c r="A46" s="42"/>
      <c r="B46" s="46"/>
      <c r="C46" s="42" t="s">
        <v>149</v>
      </c>
      <c r="D46" s="42"/>
      <c r="E46" s="55"/>
      <c r="F46" s="55"/>
      <c r="G46" s="55">
        <v>600</v>
      </c>
      <c r="H46" s="55">
        <f>G46*1.02</f>
        <v>612</v>
      </c>
      <c r="I46" s="55">
        <f>H46*1.02</f>
        <v>624.24</v>
      </c>
      <c r="J46" s="55">
        <f t="shared" ref="J46:J48" si="3">I46*1.02</f>
        <v>636.72480000000007</v>
      </c>
      <c r="K46" s="48"/>
      <c r="L46" s="42"/>
    </row>
    <row r="47" spans="1:12" ht="14.45" customHeight="1" x14ac:dyDescent="0.25">
      <c r="A47" s="42"/>
      <c r="B47" s="46"/>
      <c r="C47" s="42" t="s">
        <v>150</v>
      </c>
      <c r="D47" s="42"/>
      <c r="E47" s="55">
        <v>1990</v>
      </c>
      <c r="F47" s="55">
        <v>2000</v>
      </c>
      <c r="G47" s="55">
        <v>2000</v>
      </c>
      <c r="H47" s="55">
        <v>2000</v>
      </c>
      <c r="I47" s="55">
        <v>2000</v>
      </c>
      <c r="J47" s="55">
        <f t="shared" si="3"/>
        <v>2040</v>
      </c>
      <c r="K47" s="48"/>
      <c r="L47" s="42"/>
    </row>
    <row r="48" spans="1:12" ht="14.45" customHeight="1" x14ac:dyDescent="0.25">
      <c r="A48" s="42"/>
      <c r="B48" s="46"/>
      <c r="C48" s="42" t="s">
        <v>151</v>
      </c>
      <c r="D48" s="42"/>
      <c r="E48" s="55"/>
      <c r="F48" s="55"/>
      <c r="G48" s="55">
        <f>F48*1.02</f>
        <v>0</v>
      </c>
      <c r="H48" s="55">
        <f>G48*1.02</f>
        <v>0</v>
      </c>
      <c r="I48" s="55">
        <f>H48*1.02</f>
        <v>0</v>
      </c>
      <c r="J48" s="55">
        <f t="shared" si="3"/>
        <v>0</v>
      </c>
      <c r="K48" s="48"/>
      <c r="L48" s="42"/>
    </row>
    <row r="49" spans="1:12" ht="5.0999999999999996" customHeight="1" thickBot="1" x14ac:dyDescent="0.3">
      <c r="A49" s="42"/>
      <c r="B49" s="57"/>
      <c r="C49" s="58"/>
      <c r="D49" s="58"/>
      <c r="E49" s="58"/>
      <c r="F49" s="58"/>
      <c r="G49" s="58"/>
      <c r="H49" s="58"/>
      <c r="I49" s="58"/>
      <c r="J49" s="58"/>
      <c r="K49" s="59"/>
      <c r="L49" s="42"/>
    </row>
    <row r="50" spans="1:12" ht="5.0999999999999996" customHeight="1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4.45" customHeight="1" x14ac:dyDescent="0.25"/>
    <row r="52" spans="1:12" ht="14.4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1"/>
  <sheetViews>
    <sheetView topLeftCell="A24" workbookViewId="0">
      <selection activeCell="J41" sqref="J41"/>
    </sheetView>
  </sheetViews>
  <sheetFormatPr defaultColWidth="8.7109375" defaultRowHeight="15" x14ac:dyDescent="0.25"/>
  <cols>
    <col min="1" max="2" width="1.5703125" customWidth="1"/>
    <col min="3" max="3" width="28.42578125" customWidth="1"/>
    <col min="4" max="4" width="1.5703125" customWidth="1"/>
    <col min="5" max="10" width="10.5703125" customWidth="1"/>
    <col min="11" max="12" width="1.5703125" customWidth="1"/>
    <col min="13" max="13" width="12" customWidth="1"/>
  </cols>
  <sheetData>
    <row r="1" spans="1:16" ht="5.0999999999999996" customHeight="1" thickBot="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6" ht="5.0999999999999996" customHeight="1" x14ac:dyDescent="0.25">
      <c r="A2" s="42"/>
      <c r="B2" s="43"/>
      <c r="C2" s="44"/>
      <c r="D2" s="44"/>
      <c r="E2" s="44"/>
      <c r="F2" s="44"/>
      <c r="G2" s="44"/>
      <c r="H2" s="44"/>
      <c r="I2" s="44"/>
      <c r="J2" s="44"/>
      <c r="K2" s="45"/>
      <c r="L2" s="42"/>
    </row>
    <row r="3" spans="1:16" ht="18.75" x14ac:dyDescent="0.3">
      <c r="A3" s="42"/>
      <c r="B3" s="46"/>
      <c r="C3" s="47" t="s">
        <v>0</v>
      </c>
      <c r="D3" s="42"/>
      <c r="E3" s="42"/>
      <c r="F3" s="42"/>
      <c r="G3" s="42"/>
      <c r="H3" s="42"/>
      <c r="I3" s="42"/>
      <c r="J3" s="42"/>
      <c r="K3" s="48"/>
      <c r="L3" s="42"/>
    </row>
    <row r="4" spans="1:16" ht="18.75" x14ac:dyDescent="0.3">
      <c r="A4" s="42"/>
      <c r="B4" s="46"/>
      <c r="C4" s="47" t="s">
        <v>83</v>
      </c>
      <c r="D4" s="42"/>
      <c r="E4" s="42"/>
      <c r="F4" s="42"/>
      <c r="G4" s="42"/>
      <c r="H4" s="42"/>
      <c r="I4" s="42"/>
      <c r="J4" s="42"/>
      <c r="K4" s="48"/>
      <c r="L4" s="42"/>
    </row>
    <row r="5" spans="1:16" ht="18.75" x14ac:dyDescent="0.3">
      <c r="A5" s="42"/>
      <c r="B5" s="46"/>
      <c r="C5" s="47" t="s">
        <v>84</v>
      </c>
      <c r="D5" s="42"/>
      <c r="E5" s="42"/>
      <c r="F5" s="42"/>
      <c r="G5" s="42"/>
      <c r="H5" s="42"/>
      <c r="I5" s="42"/>
      <c r="J5" s="42"/>
      <c r="K5" s="48"/>
      <c r="L5" s="42"/>
    </row>
    <row r="6" spans="1:16" ht="5.0999999999999996" customHeight="1" x14ac:dyDescent="0.25">
      <c r="A6" s="42"/>
      <c r="B6" s="46"/>
      <c r="C6" s="42"/>
      <c r="D6" s="42"/>
      <c r="E6" s="42"/>
      <c r="F6" s="42"/>
      <c r="G6" s="42"/>
      <c r="H6" s="42"/>
      <c r="I6" s="42"/>
      <c r="J6" s="42"/>
      <c r="K6" s="48"/>
      <c r="L6" s="42"/>
    </row>
    <row r="7" spans="1:16" s="7" customFormat="1" ht="14.45" customHeight="1" x14ac:dyDescent="0.3">
      <c r="A7" s="49"/>
      <c r="B7" s="50"/>
      <c r="C7" s="47"/>
      <c r="D7" s="49"/>
      <c r="E7" s="51" t="s">
        <v>91</v>
      </c>
      <c r="F7" s="51" t="s">
        <v>1</v>
      </c>
      <c r="G7" s="51" t="s">
        <v>87</v>
      </c>
      <c r="H7" s="51" t="s">
        <v>88</v>
      </c>
      <c r="I7" s="51" t="s">
        <v>89</v>
      </c>
      <c r="J7" s="51" t="s">
        <v>90</v>
      </c>
      <c r="K7" s="52"/>
      <c r="L7" s="49"/>
    </row>
    <row r="8" spans="1:16" s="7" customFormat="1" ht="14.45" customHeight="1" x14ac:dyDescent="0.3">
      <c r="A8" s="49"/>
      <c r="B8" s="50"/>
      <c r="C8" s="47"/>
      <c r="D8" s="49"/>
      <c r="E8" s="51" t="s">
        <v>92</v>
      </c>
      <c r="F8" s="51" t="s">
        <v>93</v>
      </c>
      <c r="G8" s="51" t="s">
        <v>93</v>
      </c>
      <c r="H8" s="51" t="s">
        <v>93</v>
      </c>
      <c r="I8" s="51" t="s">
        <v>93</v>
      </c>
      <c r="J8" s="51" t="s">
        <v>93</v>
      </c>
      <c r="K8" s="52"/>
      <c r="L8" s="49"/>
    </row>
    <row r="9" spans="1:16" ht="5.0999999999999996" customHeight="1" x14ac:dyDescent="0.25">
      <c r="A9" s="42"/>
      <c r="B9" s="46"/>
      <c r="C9" s="42"/>
      <c r="D9" s="42"/>
      <c r="E9" s="42"/>
      <c r="F9" s="42"/>
      <c r="G9" s="42"/>
      <c r="H9" s="42"/>
      <c r="I9" s="42"/>
      <c r="J9" s="42"/>
      <c r="K9" s="48"/>
      <c r="L9" s="42"/>
    </row>
    <row r="10" spans="1:16" x14ac:dyDescent="0.25">
      <c r="A10" s="42"/>
      <c r="B10" s="46"/>
      <c r="C10" s="49" t="s">
        <v>42</v>
      </c>
      <c r="D10" s="42"/>
      <c r="E10" s="55"/>
      <c r="F10" s="55"/>
      <c r="G10" s="55"/>
      <c r="H10" s="55"/>
      <c r="I10" s="55"/>
      <c r="J10" s="55"/>
      <c r="K10" s="48"/>
      <c r="L10" s="42"/>
    </row>
    <row r="11" spans="1:16" x14ac:dyDescent="0.25">
      <c r="A11" s="42"/>
      <c r="B11" s="46"/>
      <c r="C11" s="42" t="s">
        <v>5</v>
      </c>
      <c r="D11" s="42"/>
      <c r="E11" s="55">
        <v>15390</v>
      </c>
      <c r="F11" s="55">
        <f>((Assumptions!F10-1)*Assumptions!F11)+(Assumptions!F11*0.5)-88</f>
        <v>17507</v>
      </c>
      <c r="G11" s="55">
        <f>15920+463</f>
        <v>16383</v>
      </c>
      <c r="H11" s="55">
        <v>16703</v>
      </c>
      <c r="I11" s="55">
        <f>16506+120+105</f>
        <v>16731</v>
      </c>
      <c r="J11" s="55">
        <v>18326</v>
      </c>
      <c r="K11" s="48"/>
      <c r="L11" s="42"/>
      <c r="M11" s="71"/>
      <c r="P11" s="71">
        <v>-681.5</v>
      </c>
    </row>
    <row r="12" spans="1:16" x14ac:dyDescent="0.25">
      <c r="A12" s="42"/>
      <c r="B12" s="46"/>
      <c r="C12" s="42" t="s">
        <v>6</v>
      </c>
      <c r="D12" s="42"/>
      <c r="E12" s="55">
        <v>620</v>
      </c>
      <c r="F12" s="55">
        <v>680</v>
      </c>
      <c r="G12" s="55">
        <v>570</v>
      </c>
      <c r="H12" s="55">
        <v>610</v>
      </c>
      <c r="I12" s="55">
        <f>590-10.88</f>
        <v>579.12</v>
      </c>
      <c r="J12" s="55">
        <v>494</v>
      </c>
      <c r="K12" s="48"/>
      <c r="L12" s="42"/>
      <c r="M12" s="71"/>
      <c r="P12" s="71">
        <v>-20.879999999999995</v>
      </c>
    </row>
    <row r="13" spans="1:16" x14ac:dyDescent="0.25">
      <c r="A13" s="42"/>
      <c r="B13" s="46"/>
      <c r="C13" s="42" t="s">
        <v>7</v>
      </c>
      <c r="D13" s="42"/>
      <c r="E13" s="55">
        <v>375</v>
      </c>
      <c r="F13" s="55">
        <v>185</v>
      </c>
      <c r="G13" s="55">
        <f>345-135</f>
        <v>210</v>
      </c>
      <c r="H13" s="55">
        <f>375-135</f>
        <v>240</v>
      </c>
      <c r="I13" s="55">
        <f>300-145</f>
        <v>155</v>
      </c>
      <c r="J13" s="55">
        <f>315-135</f>
        <v>180</v>
      </c>
      <c r="K13" s="48"/>
      <c r="L13" s="42"/>
      <c r="M13" s="71"/>
      <c r="P13" s="71">
        <v>-85</v>
      </c>
    </row>
    <row r="14" spans="1:16" x14ac:dyDescent="0.25">
      <c r="A14" s="42"/>
      <c r="B14" s="46"/>
      <c r="C14" s="42" t="s">
        <v>9</v>
      </c>
      <c r="D14" s="42"/>
      <c r="E14" s="55">
        <v>360</v>
      </c>
      <c r="F14" s="55">
        <v>150</v>
      </c>
      <c r="G14" s="55">
        <v>0</v>
      </c>
      <c r="H14" s="55">
        <v>0</v>
      </c>
      <c r="I14" s="55">
        <v>418</v>
      </c>
      <c r="J14" s="55">
        <v>800</v>
      </c>
      <c r="K14" s="48"/>
      <c r="L14" s="42"/>
      <c r="M14" s="71"/>
      <c r="P14" s="71">
        <v>268</v>
      </c>
    </row>
    <row r="15" spans="1:16" x14ac:dyDescent="0.25">
      <c r="A15" s="42"/>
      <c r="B15" s="46"/>
      <c r="C15" s="42" t="s">
        <v>10</v>
      </c>
      <c r="D15" s="42"/>
      <c r="E15" s="55">
        <v>260</v>
      </c>
      <c r="F15" s="55">
        <v>250</v>
      </c>
      <c r="G15" s="55">
        <v>0</v>
      </c>
      <c r="H15" s="55">
        <v>0</v>
      </c>
      <c r="I15" s="55">
        <v>451</v>
      </c>
      <c r="J15" s="55">
        <v>550</v>
      </c>
      <c r="K15" s="48"/>
      <c r="L15" s="42"/>
      <c r="M15" s="71"/>
      <c r="P15" s="71">
        <v>251</v>
      </c>
    </row>
    <row r="16" spans="1:16" x14ac:dyDescent="0.25">
      <c r="A16" s="42"/>
      <c r="B16" s="46"/>
      <c r="C16" s="42" t="s">
        <v>11</v>
      </c>
      <c r="D16" s="42"/>
      <c r="E16" s="55">
        <v>69</v>
      </c>
      <c r="F16" s="55">
        <v>70</v>
      </c>
      <c r="G16" s="55">
        <v>19</v>
      </c>
      <c r="H16" s="55">
        <v>12</v>
      </c>
      <c r="I16" s="55">
        <v>20</v>
      </c>
      <c r="J16" s="55">
        <v>70</v>
      </c>
      <c r="K16" s="48"/>
      <c r="L16" s="42"/>
      <c r="M16" s="71"/>
      <c r="P16" s="71">
        <v>0</v>
      </c>
    </row>
    <row r="17" spans="1:18" x14ac:dyDescent="0.25">
      <c r="A17" s="42"/>
      <c r="B17" s="46"/>
      <c r="C17" s="42" t="s">
        <v>12</v>
      </c>
      <c r="D17" s="42"/>
      <c r="E17" s="55">
        <v>2768</v>
      </c>
      <c r="F17" s="55">
        <v>3501</v>
      </c>
      <c r="G17" s="55">
        <v>2855</v>
      </c>
      <c r="H17" s="55">
        <v>2873</v>
      </c>
      <c r="I17" s="55">
        <v>2981</v>
      </c>
      <c r="J17" s="55">
        <f>3895+50</f>
        <v>3945</v>
      </c>
      <c r="K17" s="48"/>
      <c r="L17" s="42"/>
      <c r="M17" s="71"/>
      <c r="P17" s="71">
        <v>-461.640625</v>
      </c>
      <c r="R17">
        <f>11924*0.25</f>
        <v>2981</v>
      </c>
    </row>
    <row r="18" spans="1:18" x14ac:dyDescent="0.25">
      <c r="A18" s="42"/>
      <c r="B18" s="46"/>
      <c r="C18" s="42" t="s">
        <v>155</v>
      </c>
      <c r="D18" s="42"/>
      <c r="E18" s="55">
        <v>370</v>
      </c>
      <c r="F18" s="55">
        <v>200</v>
      </c>
      <c r="G18" s="55">
        <v>0</v>
      </c>
      <c r="H18" s="55">
        <f>305-42</f>
        <v>263</v>
      </c>
      <c r="I18" s="55">
        <f>594-80</f>
        <v>514</v>
      </c>
      <c r="J18" s="55">
        <v>200</v>
      </c>
      <c r="K18" s="48"/>
      <c r="L18" s="42"/>
      <c r="M18" s="71"/>
      <c r="P18" s="71">
        <v>314</v>
      </c>
    </row>
    <row r="19" spans="1:18" x14ac:dyDescent="0.25">
      <c r="A19" s="42"/>
      <c r="B19" s="46"/>
      <c r="C19" s="42" t="s">
        <v>156</v>
      </c>
      <c r="D19" s="42"/>
      <c r="E19" s="55">
        <v>450</v>
      </c>
      <c r="F19" s="55">
        <v>450</v>
      </c>
      <c r="G19" s="55">
        <v>0</v>
      </c>
      <c r="H19" s="55">
        <v>600</v>
      </c>
      <c r="I19" s="55">
        <v>0</v>
      </c>
      <c r="J19" s="55">
        <v>150</v>
      </c>
      <c r="K19" s="48"/>
      <c r="L19" s="42"/>
      <c r="M19" s="71"/>
      <c r="P19" s="71">
        <v>0</v>
      </c>
    </row>
    <row r="20" spans="1:18" x14ac:dyDescent="0.25">
      <c r="A20" s="42"/>
      <c r="B20" s="46"/>
      <c r="C20" s="42" t="s">
        <v>135</v>
      </c>
      <c r="D20" s="42"/>
      <c r="E20" s="55">
        <v>-57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48"/>
      <c r="L20" s="42"/>
      <c r="M20" s="71"/>
      <c r="P20" s="71">
        <v>0</v>
      </c>
    </row>
    <row r="21" spans="1:18" x14ac:dyDescent="0.25">
      <c r="A21" s="42"/>
      <c r="B21" s="46"/>
      <c r="C21" s="42" t="s">
        <v>13</v>
      </c>
      <c r="D21" s="42"/>
      <c r="E21" s="55">
        <v>131</v>
      </c>
      <c r="F21" s="55">
        <v>110</v>
      </c>
      <c r="G21" s="55">
        <v>232</v>
      </c>
      <c r="H21" s="55">
        <v>313</v>
      </c>
      <c r="I21" s="55">
        <v>207</v>
      </c>
      <c r="J21" s="55">
        <v>425</v>
      </c>
      <c r="K21" s="48"/>
      <c r="L21" s="42"/>
      <c r="M21" s="71"/>
      <c r="P21" s="71">
        <v>7</v>
      </c>
    </row>
    <row r="22" spans="1:18" x14ac:dyDescent="0.25">
      <c r="A22" s="42"/>
      <c r="B22" s="46"/>
      <c r="C22" s="42" t="s">
        <v>14</v>
      </c>
      <c r="D22" s="42"/>
      <c r="E22" s="55">
        <v>91</v>
      </c>
      <c r="F22" s="55">
        <v>1727</v>
      </c>
      <c r="G22" s="55">
        <v>210</v>
      </c>
      <c r="H22" s="55">
        <v>434</v>
      </c>
      <c r="I22" s="55">
        <v>573</v>
      </c>
      <c r="J22" s="55">
        <v>125</v>
      </c>
      <c r="K22" s="48"/>
      <c r="L22" s="42"/>
      <c r="M22" s="71"/>
      <c r="P22" s="71">
        <v>523</v>
      </c>
    </row>
    <row r="23" spans="1:18" x14ac:dyDescent="0.25">
      <c r="A23" s="42"/>
      <c r="B23" s="46"/>
      <c r="C23" s="42" t="s">
        <v>15</v>
      </c>
      <c r="D23" s="42"/>
      <c r="E23" s="55">
        <v>290</v>
      </c>
      <c r="F23" s="55">
        <v>100</v>
      </c>
      <c r="G23" s="55">
        <v>0</v>
      </c>
      <c r="H23" s="55">
        <v>0</v>
      </c>
      <c r="I23" s="55">
        <v>136</v>
      </c>
      <c r="J23" s="55">
        <v>0</v>
      </c>
      <c r="K23" s="48"/>
      <c r="L23" s="42"/>
      <c r="M23" s="71"/>
      <c r="P23" s="71">
        <v>86</v>
      </c>
    </row>
    <row r="24" spans="1:18" s="7" customFormat="1" x14ac:dyDescent="0.25">
      <c r="A24" s="49"/>
      <c r="B24" s="50"/>
      <c r="C24" s="49" t="s">
        <v>82</v>
      </c>
      <c r="D24" s="49"/>
      <c r="E24" s="56">
        <f t="shared" ref="E24:J24" si="0">SUM(E11:E23)</f>
        <v>21117</v>
      </c>
      <c r="F24" s="56">
        <f t="shared" si="0"/>
        <v>24930</v>
      </c>
      <c r="G24" s="56">
        <f t="shared" si="0"/>
        <v>20479</v>
      </c>
      <c r="H24" s="56">
        <f t="shared" si="0"/>
        <v>22048</v>
      </c>
      <c r="I24" s="56">
        <f t="shared" si="0"/>
        <v>22765.119999999999</v>
      </c>
      <c r="J24" s="56">
        <f t="shared" si="0"/>
        <v>25265</v>
      </c>
      <c r="K24" s="52"/>
      <c r="L24" s="49"/>
      <c r="M24" s="71"/>
      <c r="P24" s="71">
        <v>199.97937499999898</v>
      </c>
    </row>
    <row r="25" spans="1:18" ht="5.0999999999999996" customHeight="1" x14ac:dyDescent="0.25">
      <c r="A25" s="42"/>
      <c r="B25" s="46"/>
      <c r="C25" s="42"/>
      <c r="D25" s="42"/>
      <c r="E25" s="55"/>
      <c r="F25" s="55"/>
      <c r="G25" s="55"/>
      <c r="H25" s="55"/>
      <c r="I25" s="55"/>
      <c r="J25" s="55"/>
      <c r="K25" s="48"/>
      <c r="L25" s="42"/>
      <c r="P25" s="71"/>
    </row>
    <row r="26" spans="1:18" x14ac:dyDescent="0.25">
      <c r="A26" s="42"/>
      <c r="B26" s="46"/>
      <c r="C26" s="49" t="s">
        <v>16</v>
      </c>
      <c r="D26" s="42"/>
      <c r="E26" s="55"/>
      <c r="F26" s="55"/>
      <c r="G26" s="55"/>
      <c r="H26" s="62"/>
      <c r="I26" s="55"/>
      <c r="J26" s="55"/>
      <c r="K26" s="48"/>
      <c r="L26" s="42"/>
      <c r="P26" s="71"/>
    </row>
    <row r="27" spans="1:18" x14ac:dyDescent="0.25">
      <c r="A27" s="42"/>
      <c r="B27" s="46"/>
      <c r="C27" s="42" t="s">
        <v>17</v>
      </c>
      <c r="D27" s="42"/>
      <c r="E27" s="63">
        <v>7014</v>
      </c>
      <c r="F27" s="63">
        <f>(Assumptions!F20*(Assumptions!F14+Assumptions!F15-4))+(Assumptions!F17*Assumptions!F21)+(Assumptions!F18*Assumptions!F22)-166</f>
        <v>7893</v>
      </c>
      <c r="G27" s="63">
        <v>6966</v>
      </c>
      <c r="H27" s="63">
        <v>7059</v>
      </c>
      <c r="I27" s="63">
        <f>8279+150+18</f>
        <v>8447</v>
      </c>
      <c r="J27" s="63">
        <v>9074</v>
      </c>
      <c r="K27" s="48"/>
      <c r="L27" s="42"/>
      <c r="N27" s="71"/>
      <c r="P27" s="71">
        <v>96.446666666666715</v>
      </c>
      <c r="R27" s="71"/>
    </row>
    <row r="28" spans="1:18" x14ac:dyDescent="0.25">
      <c r="A28" s="42"/>
      <c r="B28" s="46"/>
      <c r="C28" s="42" t="s">
        <v>18</v>
      </c>
      <c r="D28" s="42"/>
      <c r="E28" s="63">
        <v>3870</v>
      </c>
      <c r="F28" s="63">
        <f>(Assumptions!F25*(Assumptions!F14+Assumptions!F15))-92</f>
        <v>4232</v>
      </c>
      <c r="G28" s="63">
        <v>3666</v>
      </c>
      <c r="H28" s="63">
        <v>4169</v>
      </c>
      <c r="I28" s="63">
        <v>4361</v>
      </c>
      <c r="J28" s="63">
        <v>4940</v>
      </c>
      <c r="K28" s="48"/>
      <c r="L28" s="42"/>
      <c r="N28" s="71"/>
      <c r="P28" s="71">
        <v>-187.47999999999956</v>
      </c>
      <c r="R28" s="71"/>
    </row>
    <row r="29" spans="1:18" x14ac:dyDescent="0.25">
      <c r="A29" s="42"/>
      <c r="B29" s="46"/>
      <c r="C29" s="42" t="s">
        <v>19</v>
      </c>
      <c r="D29" s="42"/>
      <c r="E29" s="63">
        <v>1184</v>
      </c>
      <c r="F29" s="63">
        <f>(Assumptions!F16*Assumptions!F28)</f>
        <v>1066</v>
      </c>
      <c r="G29" s="63">
        <v>140</v>
      </c>
      <c r="H29" s="63">
        <f>(Assumptions!H16*Assumptions!H28)</f>
        <v>0</v>
      </c>
      <c r="I29" s="63">
        <f>(Assumptions!I16*Assumptions!I28)</f>
        <v>0</v>
      </c>
      <c r="J29" s="63">
        <v>453</v>
      </c>
      <c r="K29" s="48"/>
      <c r="L29" s="42"/>
      <c r="N29" s="71"/>
      <c r="P29" s="71">
        <v>0</v>
      </c>
      <c r="R29" s="71"/>
    </row>
    <row r="30" spans="1:18" x14ac:dyDescent="0.25">
      <c r="A30" s="42"/>
      <c r="B30" s="46"/>
      <c r="C30" s="42" t="s">
        <v>20</v>
      </c>
      <c r="D30" s="42"/>
      <c r="E30" s="63">
        <v>2231</v>
      </c>
      <c r="F30" s="63">
        <f>(Assumptions!F30*(1+Assumptions!F14))</f>
        <v>2408</v>
      </c>
      <c r="G30" s="63">
        <v>0</v>
      </c>
      <c r="H30" s="63">
        <v>3573</v>
      </c>
      <c r="I30" s="63">
        <v>2644</v>
      </c>
      <c r="J30" s="63">
        <f>((Assumptions!J30*Assumptions!J14)*2/3)+((Assumptions!J30*Assumptions!J14*19.5/18.75)*1/3)+(Assumptions!J17*(Assumptions!J21/3))</f>
        <v>2572.1624999999999</v>
      </c>
      <c r="K30" s="48"/>
      <c r="L30" s="42"/>
      <c r="N30" s="71"/>
      <c r="P30" s="71">
        <v>225.25</v>
      </c>
      <c r="R30" s="71"/>
    </row>
    <row r="31" spans="1:18" x14ac:dyDescent="0.25">
      <c r="A31" s="42"/>
      <c r="B31" s="46"/>
      <c r="C31" s="42" t="s">
        <v>21</v>
      </c>
      <c r="D31" s="42"/>
      <c r="E31" s="63">
        <f>Assumptions!E15*Assumptions!E31</f>
        <v>202.5</v>
      </c>
      <c r="F31" s="63">
        <f>Assumptions!F15*Assumptions!F31</f>
        <v>337.5</v>
      </c>
      <c r="G31" s="63">
        <f>Assumptions!G15*Assumptions!G31</f>
        <v>0</v>
      </c>
      <c r="H31" s="63">
        <v>0</v>
      </c>
      <c r="I31" s="63">
        <v>0</v>
      </c>
      <c r="J31" s="63">
        <f>Assumptions!J15*Assumptions!J31</f>
        <v>0</v>
      </c>
      <c r="K31" s="48"/>
      <c r="L31" s="42"/>
      <c r="N31" s="71"/>
      <c r="P31" s="71">
        <v>-280</v>
      </c>
      <c r="R31" s="71"/>
    </row>
    <row r="32" spans="1:18" x14ac:dyDescent="0.25">
      <c r="A32" s="42"/>
      <c r="B32" s="46"/>
      <c r="C32" s="42" t="s">
        <v>208</v>
      </c>
      <c r="D32" s="42"/>
      <c r="E32" s="63">
        <v>0</v>
      </c>
      <c r="F32" s="63">
        <v>160</v>
      </c>
      <c r="G32" s="63">
        <v>0</v>
      </c>
      <c r="H32" s="63">
        <v>0</v>
      </c>
      <c r="I32" s="63">
        <v>0</v>
      </c>
      <c r="J32" s="63">
        <v>100</v>
      </c>
      <c r="K32" s="48"/>
      <c r="L32" s="42"/>
      <c r="N32" s="71"/>
      <c r="P32" s="71">
        <v>0</v>
      </c>
      <c r="R32" s="71"/>
    </row>
    <row r="33" spans="1:18" x14ac:dyDescent="0.25">
      <c r="A33" s="42"/>
      <c r="B33" s="46"/>
      <c r="C33" s="42" t="s">
        <v>22</v>
      </c>
      <c r="D33" s="42"/>
      <c r="E33" s="63">
        <v>497</v>
      </c>
      <c r="F33" s="63">
        <v>500</v>
      </c>
      <c r="G33" s="63">
        <v>497</v>
      </c>
      <c r="H33" s="63">
        <v>502</v>
      </c>
      <c r="I33" s="63">
        <v>508</v>
      </c>
      <c r="J33" s="63">
        <v>543</v>
      </c>
      <c r="K33" s="48"/>
      <c r="L33" s="42"/>
      <c r="M33" t="s">
        <v>209</v>
      </c>
      <c r="N33" s="71"/>
      <c r="P33" s="71">
        <v>-4.0399999999999636</v>
      </c>
      <c r="R33" s="71"/>
    </row>
    <row r="34" spans="1:18" x14ac:dyDescent="0.25">
      <c r="A34" s="42"/>
      <c r="B34" s="46"/>
      <c r="C34" s="42" t="s">
        <v>23</v>
      </c>
      <c r="D34" s="42"/>
      <c r="E34" s="63">
        <v>840</v>
      </c>
      <c r="F34" s="63">
        <v>900</v>
      </c>
      <c r="G34" s="70">
        <v>260</v>
      </c>
      <c r="H34" s="63">
        <v>0</v>
      </c>
      <c r="I34" s="63">
        <f>140*3</f>
        <v>420</v>
      </c>
      <c r="J34" s="63">
        <v>770</v>
      </c>
      <c r="K34" s="48"/>
      <c r="L34" s="42"/>
      <c r="N34" s="71"/>
      <c r="P34" s="71">
        <v>420</v>
      </c>
      <c r="R34" s="71"/>
    </row>
    <row r="35" spans="1:18" x14ac:dyDescent="0.25">
      <c r="A35" s="42"/>
      <c r="B35" s="46"/>
      <c r="C35" s="42" t="s">
        <v>24</v>
      </c>
      <c r="D35" s="42"/>
      <c r="E35" s="63">
        <v>0</v>
      </c>
      <c r="F35" s="63">
        <v>1578</v>
      </c>
      <c r="G35" s="63">
        <v>0</v>
      </c>
      <c r="H35" s="63">
        <v>0</v>
      </c>
      <c r="I35" s="63">
        <v>0</v>
      </c>
      <c r="J35" s="63">
        <v>0</v>
      </c>
      <c r="K35" s="48"/>
      <c r="L35" s="42"/>
      <c r="N35" s="71"/>
      <c r="P35" s="71">
        <v>0</v>
      </c>
      <c r="R35" s="71"/>
    </row>
    <row r="36" spans="1:18" x14ac:dyDescent="0.25">
      <c r="A36" s="42"/>
      <c r="B36" s="46"/>
      <c r="C36" s="42" t="s">
        <v>25</v>
      </c>
      <c r="D36" s="42"/>
      <c r="E36" s="63">
        <v>45</v>
      </c>
      <c r="F36" s="63">
        <v>45</v>
      </c>
      <c r="G36" s="63">
        <v>0</v>
      </c>
      <c r="H36" s="63">
        <v>45</v>
      </c>
      <c r="I36" s="63">
        <v>50</v>
      </c>
      <c r="J36" s="63">
        <v>50</v>
      </c>
      <c r="K36" s="48"/>
      <c r="L36" s="42"/>
      <c r="N36" s="71"/>
      <c r="P36" s="71">
        <v>5</v>
      </c>
      <c r="R36" s="71"/>
    </row>
    <row r="37" spans="1:18" x14ac:dyDescent="0.25">
      <c r="A37" s="42"/>
      <c r="B37" s="46"/>
      <c r="C37" s="42" t="s">
        <v>26</v>
      </c>
      <c r="D37" s="42"/>
      <c r="E37" s="63">
        <v>735</v>
      </c>
      <c r="F37" s="63">
        <v>685</v>
      </c>
      <c r="G37" s="63">
        <v>0</v>
      </c>
      <c r="H37" s="63">
        <v>155</v>
      </c>
      <c r="I37" s="63">
        <v>330</v>
      </c>
      <c r="J37" s="63">
        <v>340</v>
      </c>
      <c r="K37" s="48"/>
      <c r="L37" s="42"/>
      <c r="M37" t="s">
        <v>166</v>
      </c>
      <c r="N37" s="71"/>
      <c r="P37" s="71">
        <v>-170</v>
      </c>
      <c r="R37" s="71"/>
    </row>
    <row r="38" spans="1:18" x14ac:dyDescent="0.25">
      <c r="A38" s="42"/>
      <c r="B38" s="46"/>
      <c r="C38" s="42" t="s">
        <v>27</v>
      </c>
      <c r="D38" s="42"/>
      <c r="E38" s="63">
        <v>277</v>
      </c>
      <c r="F38" s="63">
        <v>200</v>
      </c>
      <c r="G38" s="63">
        <v>0</v>
      </c>
      <c r="H38" s="63">
        <v>50</v>
      </c>
      <c r="I38" s="63">
        <v>120</v>
      </c>
      <c r="J38" s="63">
        <v>0</v>
      </c>
      <c r="K38" s="48"/>
      <c r="L38" s="42"/>
      <c r="N38" s="71"/>
      <c r="P38" s="71">
        <v>20</v>
      </c>
      <c r="R38" s="71"/>
    </row>
    <row r="39" spans="1:18" x14ac:dyDescent="0.25">
      <c r="A39" s="42"/>
      <c r="B39" s="46"/>
      <c r="C39" s="42" t="s">
        <v>28</v>
      </c>
      <c r="D39" s="42"/>
      <c r="E39" s="63">
        <v>132</v>
      </c>
      <c r="F39" s="63">
        <v>100</v>
      </c>
      <c r="G39" s="63">
        <v>0</v>
      </c>
      <c r="H39" s="63">
        <v>0</v>
      </c>
      <c r="I39" s="63">
        <f>H39*1.02</f>
        <v>0</v>
      </c>
      <c r="J39" s="63">
        <f t="shared" ref="J39:J43" si="1">I39*1.02</f>
        <v>0</v>
      </c>
      <c r="K39" s="48"/>
      <c r="L39" s="42"/>
      <c r="N39" s="71"/>
      <c r="P39" s="71">
        <v>0</v>
      </c>
      <c r="R39" s="71"/>
    </row>
    <row r="40" spans="1:18" x14ac:dyDescent="0.25">
      <c r="A40" s="42"/>
      <c r="B40" s="46"/>
      <c r="C40" s="42" t="s">
        <v>29</v>
      </c>
      <c r="D40" s="42"/>
      <c r="E40" s="63">
        <v>185</v>
      </c>
      <c r="F40" s="63">
        <v>210</v>
      </c>
      <c r="G40" s="63">
        <v>0</v>
      </c>
      <c r="H40" s="63">
        <v>100</v>
      </c>
      <c r="I40" s="63">
        <v>165</v>
      </c>
      <c r="J40" s="63">
        <v>130</v>
      </c>
      <c r="K40" s="48"/>
      <c r="L40" s="42"/>
      <c r="N40" s="71"/>
      <c r="P40" s="71">
        <v>15</v>
      </c>
      <c r="R40" s="71"/>
    </row>
    <row r="41" spans="1:18" x14ac:dyDescent="0.25">
      <c r="A41" s="42"/>
      <c r="B41" s="46"/>
      <c r="C41" s="42" t="s">
        <v>136</v>
      </c>
      <c r="D41" s="42"/>
      <c r="E41" s="63">
        <v>0</v>
      </c>
      <c r="F41" s="63">
        <v>102</v>
      </c>
      <c r="G41" s="63">
        <v>33</v>
      </c>
      <c r="H41" s="63">
        <f>130</f>
        <v>130</v>
      </c>
      <c r="I41" s="63">
        <f>216+272</f>
        <v>488</v>
      </c>
      <c r="J41" s="63">
        <v>300</v>
      </c>
      <c r="K41" s="48"/>
      <c r="L41" s="42"/>
      <c r="M41" t="s">
        <v>168</v>
      </c>
      <c r="N41" s="71"/>
      <c r="P41" s="71">
        <v>288</v>
      </c>
      <c r="R41" s="71"/>
    </row>
    <row r="42" spans="1:18" x14ac:dyDescent="0.25">
      <c r="A42" s="42"/>
      <c r="B42" s="46"/>
      <c r="C42" s="42" t="s">
        <v>30</v>
      </c>
      <c r="D42" s="42"/>
      <c r="E42" s="63">
        <v>85</v>
      </c>
      <c r="F42" s="63">
        <v>75</v>
      </c>
      <c r="G42" s="70">
        <v>0</v>
      </c>
      <c r="H42" s="63">
        <v>57</v>
      </c>
      <c r="I42" s="63">
        <v>0</v>
      </c>
      <c r="J42" s="63">
        <f t="shared" si="1"/>
        <v>0</v>
      </c>
      <c r="K42" s="48"/>
      <c r="L42" s="42"/>
      <c r="N42" s="71"/>
      <c r="P42" s="71">
        <v>-100</v>
      </c>
      <c r="R42" s="71"/>
    </row>
    <row r="43" spans="1:18" x14ac:dyDescent="0.25">
      <c r="A43" s="42"/>
      <c r="B43" s="46"/>
      <c r="C43" s="42" t="s">
        <v>114</v>
      </c>
      <c r="D43" s="42"/>
      <c r="E43" s="63">
        <v>221</v>
      </c>
      <c r="F43" s="63">
        <v>161</v>
      </c>
      <c r="G43" s="63">
        <v>13</v>
      </c>
      <c r="H43" s="63">
        <v>23</v>
      </c>
      <c r="I43" s="63">
        <v>0</v>
      </c>
      <c r="J43" s="63">
        <f t="shared" si="1"/>
        <v>0</v>
      </c>
      <c r="K43" s="48"/>
      <c r="L43" s="42"/>
      <c r="N43" s="71"/>
      <c r="P43" s="71">
        <v>-153</v>
      </c>
      <c r="R43" s="71"/>
    </row>
    <row r="44" spans="1:18" x14ac:dyDescent="0.25">
      <c r="A44" s="42"/>
      <c r="B44" s="46"/>
      <c r="C44" s="42" t="s">
        <v>31</v>
      </c>
      <c r="D44" s="42"/>
      <c r="E44" s="63">
        <v>122</v>
      </c>
      <c r="F44" s="63">
        <v>122</v>
      </c>
      <c r="G44" s="63">
        <f>32+26</f>
        <v>58</v>
      </c>
      <c r="H44" s="63">
        <v>26</v>
      </c>
      <c r="I44" s="63">
        <v>22</v>
      </c>
      <c r="J44" s="63">
        <v>0</v>
      </c>
      <c r="K44" s="48"/>
      <c r="L44" s="42"/>
      <c r="N44" s="71"/>
      <c r="P44" s="71">
        <v>22</v>
      </c>
      <c r="R44" s="71"/>
    </row>
    <row r="45" spans="1:18" x14ac:dyDescent="0.25">
      <c r="A45" s="42"/>
      <c r="B45" s="46"/>
      <c r="C45" s="42" t="s">
        <v>136</v>
      </c>
      <c r="D45" s="42"/>
      <c r="E45" s="63">
        <v>-697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48"/>
      <c r="L45" s="42"/>
      <c r="N45" s="71"/>
      <c r="P45" s="71">
        <v>0</v>
      </c>
      <c r="R45" s="71"/>
    </row>
    <row r="46" spans="1:18" x14ac:dyDescent="0.25">
      <c r="A46" s="42"/>
      <c r="B46" s="46"/>
      <c r="C46" s="42" t="s">
        <v>32</v>
      </c>
      <c r="D46" s="42"/>
      <c r="E46" s="63">
        <v>0</v>
      </c>
      <c r="F46" s="63">
        <v>150</v>
      </c>
      <c r="G46" s="63">
        <v>0</v>
      </c>
      <c r="H46" s="63">
        <v>0</v>
      </c>
      <c r="I46" s="63">
        <v>0</v>
      </c>
      <c r="J46" s="63">
        <v>200</v>
      </c>
      <c r="K46" s="48"/>
      <c r="L46" s="42"/>
      <c r="N46" s="71"/>
      <c r="P46" s="71">
        <v>-600</v>
      </c>
      <c r="R46" s="71"/>
    </row>
    <row r="47" spans="1:18" s="7" customFormat="1" x14ac:dyDescent="0.25">
      <c r="A47" s="49"/>
      <c r="B47" s="50"/>
      <c r="C47" s="49" t="s">
        <v>94</v>
      </c>
      <c r="D47" s="49"/>
      <c r="E47" s="64">
        <f t="shared" ref="E47:J47" si="2">SUM(E27:E46)</f>
        <v>16943.5</v>
      </c>
      <c r="F47" s="64">
        <f t="shared" si="2"/>
        <v>20924.5</v>
      </c>
      <c r="G47" s="64">
        <f t="shared" si="2"/>
        <v>11633</v>
      </c>
      <c r="H47" s="64">
        <f t="shared" si="2"/>
        <v>15889</v>
      </c>
      <c r="I47" s="64">
        <f t="shared" si="2"/>
        <v>17555</v>
      </c>
      <c r="J47" s="64">
        <f t="shared" si="2"/>
        <v>19472.162499999999</v>
      </c>
      <c r="K47" s="52"/>
      <c r="L47" s="49"/>
      <c r="P47" s="71">
        <v>-402.82333333333372</v>
      </c>
      <c r="R47" s="71"/>
    </row>
    <row r="48" spans="1:18" s="7" customFormat="1" ht="5.0999999999999996" customHeight="1" x14ac:dyDescent="0.25">
      <c r="A48" s="49"/>
      <c r="B48" s="50"/>
      <c r="C48" s="49"/>
      <c r="D48" s="49"/>
      <c r="E48" s="56"/>
      <c r="F48" s="56"/>
      <c r="G48" s="56"/>
      <c r="H48" s="56"/>
      <c r="I48" s="56"/>
      <c r="J48" s="56"/>
      <c r="K48" s="52"/>
      <c r="L48" s="49"/>
      <c r="P48" s="71">
        <v>0</v>
      </c>
    </row>
    <row r="49" spans="1:16" s="7" customFormat="1" x14ac:dyDescent="0.25">
      <c r="A49" s="49"/>
      <c r="B49" s="50"/>
      <c r="C49" s="49" t="s">
        <v>33</v>
      </c>
      <c r="D49" s="49"/>
      <c r="E49" s="56">
        <f t="shared" ref="E49:J49" si="3">E24-E47</f>
        <v>4173.5</v>
      </c>
      <c r="F49" s="56">
        <f t="shared" si="3"/>
        <v>4005.5</v>
      </c>
      <c r="G49" s="56">
        <f t="shared" si="3"/>
        <v>8846</v>
      </c>
      <c r="H49" s="56">
        <f t="shared" si="3"/>
        <v>6159</v>
      </c>
      <c r="I49" s="56">
        <f t="shared" si="3"/>
        <v>5210.119999999999</v>
      </c>
      <c r="J49" s="56">
        <f t="shared" si="3"/>
        <v>5792.8375000000015</v>
      </c>
      <c r="K49" s="52"/>
      <c r="L49" s="49"/>
      <c r="P49" s="71">
        <v>602.8027083333327</v>
      </c>
    </row>
    <row r="50" spans="1:16" ht="5.0999999999999996" customHeight="1" thickBot="1" x14ac:dyDescent="0.3">
      <c r="A50" s="42"/>
      <c r="B50" s="57"/>
      <c r="C50" s="58"/>
      <c r="D50" s="58"/>
      <c r="E50" s="58"/>
      <c r="F50" s="58"/>
      <c r="G50" s="58"/>
      <c r="H50" s="58"/>
      <c r="I50" s="58"/>
      <c r="J50" s="58"/>
      <c r="K50" s="59"/>
      <c r="L50" s="42"/>
    </row>
    <row r="51" spans="1:16" ht="5.0999999999999996" customHeight="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topLeftCell="A8" workbookViewId="0">
      <selection activeCell="K35" sqref="K35"/>
    </sheetView>
  </sheetViews>
  <sheetFormatPr defaultColWidth="8.7109375" defaultRowHeight="15" x14ac:dyDescent="0.25"/>
  <cols>
    <col min="1" max="2" width="1.5703125" customWidth="1"/>
    <col min="3" max="3" width="28.42578125" customWidth="1"/>
    <col min="4" max="4" width="1.5703125" customWidth="1"/>
    <col min="5" max="10" width="10.5703125" customWidth="1"/>
    <col min="11" max="12" width="1.5703125" customWidth="1"/>
    <col min="13" max="13" width="12" customWidth="1"/>
  </cols>
  <sheetData>
    <row r="1" spans="1:14" ht="5.0999999999999996" customHeight="1" thickBot="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5.0999999999999996" customHeight="1" x14ac:dyDescent="0.25">
      <c r="A2" s="42"/>
      <c r="B2" s="43"/>
      <c r="C2" s="44"/>
      <c r="D2" s="44"/>
      <c r="E2" s="44"/>
      <c r="F2" s="44"/>
      <c r="G2" s="44"/>
      <c r="H2" s="44"/>
      <c r="I2" s="44"/>
      <c r="J2" s="44"/>
      <c r="K2" s="45"/>
      <c r="L2" s="42"/>
    </row>
    <row r="3" spans="1:14" ht="18.75" x14ac:dyDescent="0.3">
      <c r="A3" s="42"/>
      <c r="B3" s="46"/>
      <c r="C3" s="47" t="s">
        <v>0</v>
      </c>
      <c r="D3" s="42"/>
      <c r="E3" s="42"/>
      <c r="F3" s="42"/>
      <c r="G3" s="42"/>
      <c r="H3" s="42"/>
      <c r="I3" s="42"/>
      <c r="J3" s="42"/>
      <c r="K3" s="48"/>
      <c r="L3" s="42"/>
    </row>
    <row r="4" spans="1:14" ht="18.75" x14ac:dyDescent="0.3">
      <c r="A4" s="42"/>
      <c r="B4" s="46"/>
      <c r="C4" s="47" t="s">
        <v>83</v>
      </c>
      <c r="D4" s="42"/>
      <c r="E4" s="42"/>
      <c r="F4" s="42"/>
      <c r="G4" s="42"/>
      <c r="H4" s="42"/>
      <c r="I4" s="42"/>
      <c r="J4" s="42"/>
      <c r="K4" s="48"/>
      <c r="L4" s="42"/>
    </row>
    <row r="5" spans="1:14" ht="18.75" x14ac:dyDescent="0.3">
      <c r="A5" s="42"/>
      <c r="B5" s="46"/>
      <c r="C5" s="47" t="s">
        <v>8</v>
      </c>
      <c r="D5" s="42"/>
      <c r="E5" s="42"/>
      <c r="F5" s="42"/>
      <c r="G5" s="42"/>
      <c r="H5" s="42"/>
      <c r="I5" s="42"/>
      <c r="J5" s="42"/>
      <c r="K5" s="48"/>
      <c r="L5" s="42"/>
    </row>
    <row r="6" spans="1:14" ht="5.0999999999999996" customHeight="1" x14ac:dyDescent="0.25">
      <c r="A6" s="42"/>
      <c r="B6" s="46"/>
      <c r="C6" s="42"/>
      <c r="D6" s="42"/>
      <c r="E6" s="42"/>
      <c r="F6" s="42"/>
      <c r="G6" s="42"/>
      <c r="H6" s="42"/>
      <c r="I6" s="42"/>
      <c r="J6" s="42"/>
      <c r="K6" s="48"/>
      <c r="L6" s="42"/>
    </row>
    <row r="7" spans="1:14" s="7" customFormat="1" ht="14.45" customHeight="1" x14ac:dyDescent="0.3">
      <c r="A7" s="49"/>
      <c r="B7" s="50"/>
      <c r="C7" s="47"/>
      <c r="D7" s="49"/>
      <c r="E7" s="51" t="s">
        <v>91</v>
      </c>
      <c r="F7" s="51" t="s">
        <v>1</v>
      </c>
      <c r="G7" s="51" t="s">
        <v>87</v>
      </c>
      <c r="H7" s="51" t="s">
        <v>88</v>
      </c>
      <c r="I7" s="51" t="s">
        <v>89</v>
      </c>
      <c r="J7" s="51" t="s">
        <v>90</v>
      </c>
      <c r="K7" s="52"/>
      <c r="L7" s="49"/>
    </row>
    <row r="8" spans="1:14" s="7" customFormat="1" ht="14.45" customHeight="1" x14ac:dyDescent="0.3">
      <c r="A8" s="49"/>
      <c r="B8" s="50"/>
      <c r="C8" s="47"/>
      <c r="D8" s="49"/>
      <c r="E8" s="51" t="s">
        <v>92</v>
      </c>
      <c r="F8" s="51" t="s">
        <v>93</v>
      </c>
      <c r="G8" s="51" t="s">
        <v>93</v>
      </c>
      <c r="H8" s="51" t="s">
        <v>93</v>
      </c>
      <c r="I8" s="51" t="s">
        <v>93</v>
      </c>
      <c r="J8" s="51" t="s">
        <v>93</v>
      </c>
      <c r="K8" s="52"/>
      <c r="L8" s="49"/>
    </row>
    <row r="9" spans="1:14" ht="5.0999999999999996" customHeight="1" x14ac:dyDescent="0.25">
      <c r="A9" s="42"/>
      <c r="B9" s="46"/>
      <c r="C9" s="42"/>
      <c r="D9" s="42"/>
      <c r="E9" s="42"/>
      <c r="F9" s="42"/>
      <c r="G9" s="42"/>
      <c r="H9" s="42"/>
      <c r="I9" s="42"/>
      <c r="J9" s="42"/>
      <c r="K9" s="48"/>
      <c r="L9" s="42"/>
    </row>
    <row r="10" spans="1:14" ht="15.75" x14ac:dyDescent="0.25">
      <c r="A10" s="42"/>
      <c r="B10" s="46"/>
      <c r="C10" s="53" t="s">
        <v>42</v>
      </c>
      <c r="D10" s="42"/>
      <c r="E10" s="54"/>
      <c r="F10" s="54"/>
      <c r="G10" s="42"/>
      <c r="H10" s="42"/>
      <c r="I10" s="42"/>
      <c r="J10" s="42"/>
      <c r="K10" s="48"/>
      <c r="L10" s="42"/>
    </row>
    <row r="11" spans="1:14" x14ac:dyDescent="0.25">
      <c r="A11" s="42"/>
      <c r="B11" s="46"/>
      <c r="C11" s="42" t="s">
        <v>126</v>
      </c>
      <c r="D11" s="42"/>
      <c r="E11" s="55">
        <v>3267</v>
      </c>
      <c r="F11" s="55">
        <f>(Assumptions!F33*Assumptions!F34)</f>
        <v>3410</v>
      </c>
      <c r="G11" s="55">
        <v>0</v>
      </c>
      <c r="H11" s="55">
        <f>1210+48</f>
        <v>1258</v>
      </c>
      <c r="I11" s="55">
        <v>2045</v>
      </c>
      <c r="J11" s="55">
        <f>2050-25</f>
        <v>2025</v>
      </c>
      <c r="K11" s="48"/>
      <c r="L11" s="42"/>
      <c r="M11" t="s">
        <v>158</v>
      </c>
      <c r="N11" t="s">
        <v>159</v>
      </c>
    </row>
    <row r="12" spans="1:14" x14ac:dyDescent="0.25">
      <c r="A12" s="42"/>
      <c r="B12" s="46"/>
      <c r="C12" s="42" t="s">
        <v>80</v>
      </c>
      <c r="D12" s="42"/>
      <c r="E12" s="55">
        <v>206</v>
      </c>
      <c r="F12" s="55">
        <f>(Assumptions!F35*Assumptions!F36)</f>
        <v>235</v>
      </c>
      <c r="G12" s="55">
        <v>0</v>
      </c>
      <c r="H12" s="55">
        <v>30</v>
      </c>
      <c r="I12" s="55">
        <v>130</v>
      </c>
      <c r="J12" s="55">
        <v>105</v>
      </c>
      <c r="K12" s="48"/>
      <c r="L12" s="42"/>
      <c r="N12" t="s">
        <v>160</v>
      </c>
    </row>
    <row r="13" spans="1:14" x14ac:dyDescent="0.25">
      <c r="A13" s="42"/>
      <c r="B13" s="46"/>
      <c r="C13" s="42" t="s">
        <v>44</v>
      </c>
      <c r="D13" s="42"/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48"/>
      <c r="L13" s="42"/>
    </row>
    <row r="14" spans="1:14" x14ac:dyDescent="0.25">
      <c r="A14" s="42"/>
      <c r="B14" s="46"/>
      <c r="C14" s="42" t="s">
        <v>45</v>
      </c>
      <c r="D14" s="42"/>
      <c r="E14" s="55">
        <v>642</v>
      </c>
      <c r="F14" s="55">
        <v>685</v>
      </c>
      <c r="G14" s="55">
        <v>0</v>
      </c>
      <c r="H14" s="55">
        <v>37</v>
      </c>
      <c r="I14" s="55">
        <v>433</v>
      </c>
      <c r="J14" s="55">
        <f>290+(45*0.98)</f>
        <v>334.1</v>
      </c>
      <c r="K14" s="48"/>
      <c r="L14" s="42"/>
    </row>
    <row r="15" spans="1:14" x14ac:dyDescent="0.25">
      <c r="A15" s="42"/>
      <c r="B15" s="46"/>
      <c r="C15" s="42" t="s">
        <v>102</v>
      </c>
      <c r="D15" s="42"/>
      <c r="E15" s="55">
        <v>0</v>
      </c>
      <c r="F15" s="55">
        <v>0</v>
      </c>
      <c r="G15" s="55">
        <v>0</v>
      </c>
      <c r="H15" s="55">
        <v>0</v>
      </c>
      <c r="I15" s="55">
        <f>25+140+29.5+4</f>
        <v>198.5</v>
      </c>
      <c r="J15" s="55">
        <f>159+19</f>
        <v>178</v>
      </c>
      <c r="K15" s="48"/>
      <c r="L15" s="42"/>
    </row>
    <row r="16" spans="1:14" s="7" customFormat="1" x14ac:dyDescent="0.25">
      <c r="A16" s="49"/>
      <c r="B16" s="50"/>
      <c r="C16" s="49" t="s">
        <v>82</v>
      </c>
      <c r="D16" s="49"/>
      <c r="E16" s="56">
        <f t="shared" ref="E16:J16" si="0">SUM(E11:E15)</f>
        <v>4115</v>
      </c>
      <c r="F16" s="56">
        <f t="shared" si="0"/>
        <v>4330</v>
      </c>
      <c r="G16" s="56">
        <f t="shared" si="0"/>
        <v>0</v>
      </c>
      <c r="H16" s="56">
        <f t="shared" si="0"/>
        <v>1325</v>
      </c>
      <c r="I16" s="56">
        <f t="shared" si="0"/>
        <v>2806.5</v>
      </c>
      <c r="J16" s="56">
        <f t="shared" si="0"/>
        <v>2642.1</v>
      </c>
      <c r="K16" s="52"/>
      <c r="L16" s="49"/>
    </row>
    <row r="17" spans="1:13" ht="5.0999999999999996" customHeight="1" x14ac:dyDescent="0.25">
      <c r="A17" s="42"/>
      <c r="B17" s="46"/>
      <c r="C17" s="42"/>
      <c r="D17" s="42"/>
      <c r="E17" s="55"/>
      <c r="F17" s="55"/>
      <c r="G17" s="55"/>
      <c r="H17" s="55"/>
      <c r="I17" s="55"/>
      <c r="J17" s="55"/>
      <c r="K17" s="48"/>
      <c r="L17" s="42"/>
    </row>
    <row r="18" spans="1:13" x14ac:dyDescent="0.25">
      <c r="A18" s="42"/>
      <c r="B18" s="46"/>
      <c r="C18" s="49" t="s">
        <v>16</v>
      </c>
      <c r="D18" s="42"/>
      <c r="E18" s="55"/>
      <c r="F18" s="55"/>
      <c r="G18" s="55"/>
      <c r="H18" s="55"/>
      <c r="I18" s="55"/>
      <c r="J18" s="55"/>
      <c r="K18" s="48"/>
      <c r="L18" s="42"/>
    </row>
    <row r="19" spans="1:13" x14ac:dyDescent="0.25">
      <c r="A19" s="42"/>
      <c r="B19" s="46"/>
      <c r="C19" s="65" t="s">
        <v>118</v>
      </c>
      <c r="D19" s="42"/>
      <c r="E19" s="55"/>
      <c r="F19" s="55"/>
      <c r="G19" s="55"/>
      <c r="H19" s="55"/>
      <c r="I19" s="55"/>
      <c r="J19" s="55"/>
      <c r="K19" s="48"/>
      <c r="L19" s="42"/>
    </row>
    <row r="20" spans="1:13" x14ac:dyDescent="0.25">
      <c r="A20" s="42"/>
      <c r="B20" s="46"/>
      <c r="C20" s="42" t="s">
        <v>47</v>
      </c>
      <c r="D20" s="42"/>
      <c r="E20" s="55">
        <f>Assumptions!E23</f>
        <v>775</v>
      </c>
      <c r="F20" s="55">
        <f>Assumptions!F23</f>
        <v>791</v>
      </c>
      <c r="G20" s="55">
        <f>404+363</f>
        <v>767</v>
      </c>
      <c r="H20" s="55">
        <f>Assumptions!H23</f>
        <v>823</v>
      </c>
      <c r="I20" s="55">
        <f>Assumptions!I23</f>
        <v>864.15000000000009</v>
      </c>
      <c r="J20" s="55">
        <f>Assumptions!J23</f>
        <v>907.35750000000019</v>
      </c>
      <c r="K20" s="48"/>
      <c r="L20" s="42"/>
    </row>
    <row r="21" spans="1:13" x14ac:dyDescent="0.25">
      <c r="A21" s="42"/>
      <c r="B21" s="46"/>
      <c r="C21" s="42" t="s">
        <v>49</v>
      </c>
      <c r="D21" s="42"/>
      <c r="E21" s="55">
        <f>Assumptions!E26</f>
        <v>434</v>
      </c>
      <c r="F21" s="55">
        <f>Assumptions!F26</f>
        <v>443</v>
      </c>
      <c r="G21" s="55">
        <v>0</v>
      </c>
      <c r="H21" s="55">
        <f>Assumptions!H26</f>
        <v>461</v>
      </c>
      <c r="I21" s="55">
        <f>Assumptions!I26</f>
        <v>484.05</v>
      </c>
      <c r="J21" s="55">
        <f>Assumptions!J26</f>
        <v>508.25250000000005</v>
      </c>
      <c r="K21" s="48"/>
      <c r="L21" s="42"/>
    </row>
    <row r="22" spans="1:13" x14ac:dyDescent="0.25">
      <c r="A22" s="42"/>
      <c r="B22" s="46"/>
      <c r="C22" s="42" t="s">
        <v>50</v>
      </c>
      <c r="D22" s="42"/>
      <c r="E22" s="55">
        <v>450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48"/>
      <c r="L22" s="42"/>
    </row>
    <row r="23" spans="1:13" x14ac:dyDescent="0.25">
      <c r="A23" s="42"/>
      <c r="B23" s="46"/>
      <c r="C23" s="65" t="s">
        <v>53</v>
      </c>
      <c r="D23" s="42"/>
      <c r="E23" s="55"/>
      <c r="F23" s="55"/>
      <c r="G23" s="55"/>
      <c r="H23" s="55"/>
      <c r="I23" s="55"/>
      <c r="J23" s="55"/>
      <c r="K23" s="48"/>
      <c r="L23" s="42"/>
    </row>
    <row r="24" spans="1:13" x14ac:dyDescent="0.25">
      <c r="A24" s="42"/>
      <c r="B24" s="46"/>
      <c r="C24" s="42" t="s">
        <v>54</v>
      </c>
      <c r="D24" s="42"/>
      <c r="E24" s="55">
        <v>390</v>
      </c>
      <c r="F24" s="55">
        <v>420</v>
      </c>
      <c r="G24" s="55">
        <v>0</v>
      </c>
      <c r="H24" s="55">
        <v>347</v>
      </c>
      <c r="I24" s="55">
        <v>392</v>
      </c>
      <c r="J24" s="55">
        <v>248</v>
      </c>
      <c r="K24" s="48"/>
      <c r="L24" s="42"/>
    </row>
    <row r="25" spans="1:13" x14ac:dyDescent="0.25">
      <c r="A25" s="42"/>
      <c r="B25" s="46"/>
      <c r="C25" s="42" t="s">
        <v>55</v>
      </c>
      <c r="D25" s="42"/>
      <c r="E25" s="55">
        <v>160</v>
      </c>
      <c r="F25" s="55">
        <v>190</v>
      </c>
      <c r="G25" s="55">
        <v>0</v>
      </c>
      <c r="H25" s="55">
        <v>185</v>
      </c>
      <c r="I25" s="55">
        <v>170</v>
      </c>
      <c r="J25" s="55">
        <f>85+53</f>
        <v>138</v>
      </c>
      <c r="K25" s="48"/>
      <c r="L25" s="42"/>
      <c r="M25" t="s">
        <v>200</v>
      </c>
    </row>
    <row r="26" spans="1:13" x14ac:dyDescent="0.25">
      <c r="A26" s="42"/>
      <c r="B26" s="46"/>
      <c r="C26" s="65" t="s">
        <v>58</v>
      </c>
      <c r="D26" s="42"/>
      <c r="E26" s="55"/>
      <c r="F26" s="55"/>
      <c r="G26" s="55"/>
      <c r="H26" s="55"/>
      <c r="I26" s="55"/>
      <c r="J26" s="55"/>
      <c r="K26" s="48"/>
      <c r="L26" s="42"/>
    </row>
    <row r="27" spans="1:13" x14ac:dyDescent="0.25">
      <c r="A27" s="42"/>
      <c r="B27" s="46"/>
      <c r="C27" s="42" t="s">
        <v>43</v>
      </c>
      <c r="D27" s="42"/>
      <c r="E27" s="55"/>
      <c r="F27" s="55"/>
      <c r="G27" s="55"/>
      <c r="H27" s="55"/>
      <c r="I27" s="55"/>
      <c r="J27" s="55"/>
      <c r="K27" s="48"/>
      <c r="L27" s="42"/>
    </row>
    <row r="28" spans="1:13" x14ac:dyDescent="0.25">
      <c r="A28" s="42"/>
      <c r="B28" s="46"/>
      <c r="C28" s="42" t="s">
        <v>30</v>
      </c>
      <c r="D28" s="42"/>
      <c r="E28" s="55">
        <v>60</v>
      </c>
      <c r="F28" s="55">
        <v>4</v>
      </c>
      <c r="G28" s="55">
        <v>0</v>
      </c>
      <c r="H28" s="55">
        <v>30</v>
      </c>
      <c r="I28" s="55">
        <v>0</v>
      </c>
      <c r="J28" s="55">
        <v>21</v>
      </c>
      <c r="K28" s="48"/>
      <c r="L28" s="42"/>
    </row>
    <row r="29" spans="1:13" x14ac:dyDescent="0.25">
      <c r="A29" s="42"/>
      <c r="B29" s="46"/>
      <c r="C29" s="42" t="s">
        <v>119</v>
      </c>
      <c r="D29" s="42"/>
      <c r="E29" s="55">
        <v>175</v>
      </c>
      <c r="F29" s="55">
        <v>178</v>
      </c>
      <c r="G29" s="55">
        <v>0</v>
      </c>
      <c r="H29" s="55">
        <v>120</v>
      </c>
      <c r="I29" s="55">
        <v>195</v>
      </c>
      <c r="J29" s="55">
        <v>139</v>
      </c>
      <c r="K29" s="48"/>
      <c r="L29" s="42"/>
    </row>
    <row r="30" spans="1:13" x14ac:dyDescent="0.25">
      <c r="A30" s="42"/>
      <c r="B30" s="46"/>
      <c r="C30" s="42" t="s">
        <v>60</v>
      </c>
      <c r="D30" s="42"/>
      <c r="E30" s="55">
        <v>0</v>
      </c>
      <c r="F30" s="55">
        <v>7</v>
      </c>
      <c r="G30" s="55">
        <v>0</v>
      </c>
      <c r="H30" s="55">
        <v>26</v>
      </c>
      <c r="I30" s="55">
        <v>12</v>
      </c>
      <c r="J30" s="55">
        <v>0</v>
      </c>
      <c r="K30" s="48"/>
      <c r="L30" s="42"/>
    </row>
    <row r="31" spans="1:13" x14ac:dyDescent="0.25">
      <c r="A31" s="42"/>
      <c r="B31" s="46"/>
      <c r="C31" s="65" t="s">
        <v>120</v>
      </c>
      <c r="D31" s="42"/>
      <c r="E31" s="55"/>
      <c r="F31" s="55"/>
      <c r="G31" s="55"/>
      <c r="H31" s="55"/>
      <c r="I31" s="55"/>
      <c r="J31" s="55"/>
      <c r="K31" s="48"/>
      <c r="L31" s="42"/>
    </row>
    <row r="32" spans="1:13" x14ac:dyDescent="0.25">
      <c r="A32" s="42"/>
      <c r="B32" s="46"/>
      <c r="C32" s="42" t="s">
        <v>25</v>
      </c>
      <c r="D32" s="42"/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48"/>
      <c r="L32" s="42"/>
    </row>
    <row r="33" spans="1:12" x14ac:dyDescent="0.25">
      <c r="A33" s="42"/>
      <c r="B33" s="46"/>
      <c r="C33" s="42" t="s">
        <v>64</v>
      </c>
      <c r="D33" s="42"/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48"/>
      <c r="L33" s="42"/>
    </row>
    <row r="34" spans="1:12" x14ac:dyDescent="0.25">
      <c r="A34" s="42"/>
      <c r="B34" s="46"/>
      <c r="C34" s="42" t="s">
        <v>65</v>
      </c>
      <c r="D34" s="42"/>
      <c r="E34" s="55">
        <v>46</v>
      </c>
      <c r="F34" s="55">
        <v>67</v>
      </c>
      <c r="G34" s="55">
        <v>0</v>
      </c>
      <c r="H34" s="55">
        <v>50</v>
      </c>
      <c r="I34" s="55">
        <v>33</v>
      </c>
      <c r="J34" s="55">
        <v>33</v>
      </c>
      <c r="K34" s="48"/>
      <c r="L34" s="42"/>
    </row>
    <row r="35" spans="1:12" x14ac:dyDescent="0.25">
      <c r="A35" s="42"/>
      <c r="B35" s="46"/>
      <c r="C35" s="42" t="s">
        <v>32</v>
      </c>
      <c r="D35" s="42"/>
      <c r="E35" s="55">
        <v>0</v>
      </c>
      <c r="F35" s="55">
        <v>0</v>
      </c>
      <c r="G35" s="55">
        <v>0</v>
      </c>
      <c r="H35" s="55">
        <v>0</v>
      </c>
      <c r="I35" s="55">
        <v>48</v>
      </c>
      <c r="J35" s="55">
        <f>2+99</f>
        <v>101</v>
      </c>
      <c r="K35" s="48"/>
      <c r="L35" s="42"/>
    </row>
    <row r="36" spans="1:12" ht="15.75" x14ac:dyDescent="0.25">
      <c r="A36" s="42"/>
      <c r="B36" s="46"/>
      <c r="C36" s="53" t="s">
        <v>16</v>
      </c>
      <c r="D36" s="42"/>
      <c r="E36" s="56">
        <f t="shared" ref="E36:J36" si="1">SUM(E20:E35)</f>
        <v>2490</v>
      </c>
      <c r="F36" s="56">
        <f t="shared" si="1"/>
        <v>2100</v>
      </c>
      <c r="G36" s="56">
        <f t="shared" si="1"/>
        <v>767</v>
      </c>
      <c r="H36" s="56">
        <f t="shared" si="1"/>
        <v>2042</v>
      </c>
      <c r="I36" s="56">
        <f t="shared" si="1"/>
        <v>2198.1999999999998</v>
      </c>
      <c r="J36" s="56">
        <f t="shared" si="1"/>
        <v>2095.61</v>
      </c>
      <c r="K36" s="48"/>
      <c r="L36" s="42"/>
    </row>
    <row r="37" spans="1:12" ht="5.0999999999999996" customHeight="1" x14ac:dyDescent="0.25">
      <c r="A37" s="42"/>
      <c r="B37" s="46"/>
      <c r="C37" s="42"/>
      <c r="D37" s="42"/>
      <c r="E37" s="55"/>
      <c r="F37" s="55"/>
      <c r="G37" s="55"/>
      <c r="H37" s="55"/>
      <c r="I37" s="55"/>
      <c r="J37" s="55"/>
      <c r="K37" s="48"/>
      <c r="L37" s="42"/>
    </row>
    <row r="38" spans="1:12" ht="15.75" x14ac:dyDescent="0.25">
      <c r="A38" s="42"/>
      <c r="B38" s="46"/>
      <c r="C38" s="53" t="s">
        <v>121</v>
      </c>
      <c r="D38" s="42"/>
      <c r="E38" s="56">
        <f t="shared" ref="E38:J38" si="2">E16-E36</f>
        <v>1625</v>
      </c>
      <c r="F38" s="56">
        <f t="shared" si="2"/>
        <v>2230</v>
      </c>
      <c r="G38" s="56">
        <f t="shared" si="2"/>
        <v>-767</v>
      </c>
      <c r="H38" s="56">
        <f t="shared" si="2"/>
        <v>-717</v>
      </c>
      <c r="I38" s="56">
        <f t="shared" si="2"/>
        <v>608.30000000000018</v>
      </c>
      <c r="J38" s="56">
        <f t="shared" si="2"/>
        <v>546.48999999999978</v>
      </c>
      <c r="K38" s="48"/>
      <c r="L38" s="42"/>
    </row>
    <row r="39" spans="1:12" ht="5.0999999999999996" customHeight="1" thickBot="1" x14ac:dyDescent="0.3">
      <c r="A39" s="42"/>
      <c r="B39" s="57"/>
      <c r="C39" s="58"/>
      <c r="D39" s="58"/>
      <c r="E39" s="58"/>
      <c r="F39" s="58"/>
      <c r="G39" s="58"/>
      <c r="H39" s="58"/>
      <c r="I39" s="58"/>
      <c r="J39" s="58"/>
      <c r="K39" s="59"/>
      <c r="L39" s="42"/>
    </row>
    <row r="40" spans="1:12" ht="5.0999999999999996" customHeight="1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2"/>
  <sheetViews>
    <sheetView topLeftCell="A19" workbookViewId="0">
      <selection activeCell="M48" sqref="M48"/>
    </sheetView>
  </sheetViews>
  <sheetFormatPr defaultColWidth="8.7109375" defaultRowHeight="15" x14ac:dyDescent="0.25"/>
  <cols>
    <col min="1" max="2" width="1.5703125" customWidth="1"/>
    <col min="3" max="3" width="28.42578125" customWidth="1"/>
    <col min="4" max="4" width="1.5703125" customWidth="1"/>
    <col min="5" max="10" width="10.5703125" customWidth="1"/>
    <col min="11" max="12" width="1.5703125" customWidth="1"/>
    <col min="13" max="13" width="12" customWidth="1"/>
  </cols>
  <sheetData>
    <row r="1" spans="1:12" ht="5.0999999999999996" customHeight="1" thickBot="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5.0999999999999996" customHeight="1" x14ac:dyDescent="0.25">
      <c r="A2" s="42"/>
      <c r="B2" s="43"/>
      <c r="C2" s="44"/>
      <c r="D2" s="44"/>
      <c r="E2" s="44"/>
      <c r="F2" s="44"/>
      <c r="G2" s="44"/>
      <c r="H2" s="44"/>
      <c r="I2" s="44"/>
      <c r="J2" s="44"/>
      <c r="K2" s="45"/>
      <c r="L2" s="42"/>
    </row>
    <row r="3" spans="1:12" ht="18.75" x14ac:dyDescent="0.3">
      <c r="A3" s="42"/>
      <c r="B3" s="46"/>
      <c r="C3" s="47" t="s">
        <v>0</v>
      </c>
      <c r="D3" s="42"/>
      <c r="E3" s="42"/>
      <c r="F3" s="42"/>
      <c r="G3" s="42"/>
      <c r="H3" s="42"/>
      <c r="I3" s="42"/>
      <c r="J3" s="42"/>
      <c r="K3" s="48"/>
      <c r="L3" s="42"/>
    </row>
    <row r="4" spans="1:12" ht="18.75" x14ac:dyDescent="0.3">
      <c r="A4" s="42"/>
      <c r="B4" s="46"/>
      <c r="C4" s="47" t="s">
        <v>83</v>
      </c>
      <c r="D4" s="42"/>
      <c r="E4" s="42"/>
      <c r="F4" s="42"/>
      <c r="G4" s="42"/>
      <c r="H4" s="42"/>
      <c r="I4" s="42"/>
      <c r="J4" s="42"/>
      <c r="K4" s="48"/>
      <c r="L4" s="42"/>
    </row>
    <row r="5" spans="1:12" ht="18.75" x14ac:dyDescent="0.3">
      <c r="A5" s="42"/>
      <c r="B5" s="46"/>
      <c r="C5" s="47" t="s">
        <v>4</v>
      </c>
      <c r="D5" s="42"/>
      <c r="E5" s="42"/>
      <c r="F5" s="42"/>
      <c r="G5" s="42"/>
      <c r="H5" s="42"/>
      <c r="I5" s="42"/>
      <c r="J5" s="42"/>
      <c r="K5" s="48"/>
      <c r="L5" s="42"/>
    </row>
    <row r="6" spans="1:12" ht="5.0999999999999996" customHeight="1" x14ac:dyDescent="0.25">
      <c r="A6" s="42"/>
      <c r="B6" s="46"/>
      <c r="C6" s="42"/>
      <c r="D6" s="42"/>
      <c r="E6" s="42"/>
      <c r="F6" s="42"/>
      <c r="G6" s="42"/>
      <c r="H6" s="42"/>
      <c r="I6" s="42"/>
      <c r="J6" s="42"/>
      <c r="K6" s="48"/>
      <c r="L6" s="42"/>
    </row>
    <row r="7" spans="1:12" s="7" customFormat="1" ht="14.45" customHeight="1" x14ac:dyDescent="0.3">
      <c r="A7" s="49"/>
      <c r="B7" s="50"/>
      <c r="C7" s="47"/>
      <c r="D7" s="49"/>
      <c r="E7" s="51" t="s">
        <v>91</v>
      </c>
      <c r="F7" s="51" t="s">
        <v>1</v>
      </c>
      <c r="G7" s="51" t="s">
        <v>87</v>
      </c>
      <c r="H7" s="51" t="s">
        <v>88</v>
      </c>
      <c r="I7" s="51" t="s">
        <v>89</v>
      </c>
      <c r="J7" s="51" t="s">
        <v>90</v>
      </c>
      <c r="K7" s="52"/>
      <c r="L7" s="49"/>
    </row>
    <row r="8" spans="1:12" s="7" customFormat="1" ht="14.45" customHeight="1" x14ac:dyDescent="0.3">
      <c r="A8" s="49"/>
      <c r="B8" s="50"/>
      <c r="C8" s="47"/>
      <c r="D8" s="49"/>
      <c r="E8" s="51" t="s">
        <v>92</v>
      </c>
      <c r="F8" s="51" t="s">
        <v>93</v>
      </c>
      <c r="G8" s="51" t="s">
        <v>93</v>
      </c>
      <c r="H8" s="51" t="s">
        <v>93</v>
      </c>
      <c r="I8" s="51" t="s">
        <v>93</v>
      </c>
      <c r="J8" s="51" t="s">
        <v>93</v>
      </c>
      <c r="K8" s="52"/>
      <c r="L8" s="49"/>
    </row>
    <row r="9" spans="1:12" ht="5.0999999999999996" customHeight="1" x14ac:dyDescent="0.25">
      <c r="A9" s="42"/>
      <c r="B9" s="46"/>
      <c r="C9" s="42"/>
      <c r="D9" s="42"/>
      <c r="E9" s="42"/>
      <c r="F9" s="42"/>
      <c r="G9" s="42"/>
      <c r="H9" s="42"/>
      <c r="I9" s="42"/>
      <c r="J9" s="42"/>
      <c r="K9" s="48"/>
      <c r="L9" s="42"/>
    </row>
    <row r="10" spans="1:12" ht="15.75" x14ac:dyDescent="0.25">
      <c r="A10" s="42"/>
      <c r="B10" s="46"/>
      <c r="C10" s="53" t="s">
        <v>42</v>
      </c>
      <c r="D10" s="42"/>
      <c r="E10" s="54"/>
      <c r="F10" s="54"/>
      <c r="G10" s="42"/>
      <c r="H10" s="42"/>
      <c r="I10" s="42"/>
      <c r="J10" s="42"/>
      <c r="K10" s="48"/>
      <c r="L10" s="42"/>
    </row>
    <row r="11" spans="1:12" x14ac:dyDescent="0.25">
      <c r="A11" s="42"/>
      <c r="B11" s="46"/>
      <c r="C11" s="42" t="s">
        <v>99</v>
      </c>
      <c r="D11" s="42"/>
      <c r="E11" s="55">
        <f>'1819 concert'!J11</f>
        <v>0</v>
      </c>
      <c r="F11" s="55">
        <f>'1920 concert'!I11</f>
        <v>3188</v>
      </c>
      <c r="G11" s="55">
        <f>'2021 concert'!I11</f>
        <v>0</v>
      </c>
      <c r="H11" s="55">
        <f>'2122 concert'!I11</f>
        <v>0</v>
      </c>
      <c r="I11" s="55">
        <f>'2223 concert'!I11</f>
        <v>0</v>
      </c>
      <c r="J11" s="55">
        <f>'2324 concert'!I11</f>
        <v>11913</v>
      </c>
      <c r="K11" s="48"/>
      <c r="L11" s="42"/>
    </row>
    <row r="12" spans="1:12" x14ac:dyDescent="0.25">
      <c r="A12" s="42"/>
      <c r="B12" s="46"/>
      <c r="C12" s="42" t="s">
        <v>115</v>
      </c>
      <c r="D12" s="42"/>
      <c r="E12" s="55">
        <f>'1819 concert'!J12</f>
        <v>0</v>
      </c>
      <c r="F12" s="55">
        <f>'1920 concert'!I12</f>
        <v>9517</v>
      </c>
      <c r="G12" s="55">
        <f>'2021 concert'!I12</f>
        <v>0</v>
      </c>
      <c r="H12" s="55">
        <f>'2122 concert'!I12</f>
        <v>10355</v>
      </c>
      <c r="I12" s="55">
        <f>'2223 concert'!I12</f>
        <v>6067</v>
      </c>
      <c r="J12" s="55">
        <f>'2324 concert'!I12</f>
        <v>3610</v>
      </c>
      <c r="K12" s="48"/>
      <c r="L12" s="42"/>
    </row>
    <row r="13" spans="1:12" x14ac:dyDescent="0.25">
      <c r="A13" s="42"/>
      <c r="B13" s="46"/>
      <c r="C13" s="42" t="s">
        <v>116</v>
      </c>
      <c r="D13" s="42"/>
      <c r="E13" s="55">
        <f>'1819 concert'!J13</f>
        <v>0</v>
      </c>
      <c r="F13" s="55">
        <f>'1920 concert'!I13</f>
        <v>560</v>
      </c>
      <c r="G13" s="55">
        <f>'2021 concert'!I13</f>
        <v>0</v>
      </c>
      <c r="H13" s="55">
        <f>'2122 concert'!I13</f>
        <v>0</v>
      </c>
      <c r="I13" s="55">
        <f>'2223 concert'!I13</f>
        <v>120</v>
      </c>
      <c r="J13" s="55">
        <f>'2324 concert'!I13</f>
        <v>0</v>
      </c>
      <c r="K13" s="48"/>
      <c r="L13" s="42"/>
    </row>
    <row r="14" spans="1:12" x14ac:dyDescent="0.25">
      <c r="A14" s="42"/>
      <c r="B14" s="46"/>
      <c r="C14" s="42" t="s">
        <v>117</v>
      </c>
      <c r="D14" s="42"/>
      <c r="E14" s="55">
        <f>'1819 concert'!J14</f>
        <v>0</v>
      </c>
      <c r="F14" s="55">
        <f>'1920 concert'!I14</f>
        <v>60</v>
      </c>
      <c r="G14" s="55">
        <f>'2021 concert'!I14</f>
        <v>0</v>
      </c>
      <c r="H14" s="55">
        <f>'2122 concert'!I14</f>
        <v>0</v>
      </c>
      <c r="I14" s="55">
        <f>'2223 concert'!I14</f>
        <v>75.599999999999994</v>
      </c>
      <c r="J14" s="55">
        <f>'2324 concert'!I14</f>
        <v>0</v>
      </c>
      <c r="K14" s="48"/>
      <c r="L14" s="42"/>
    </row>
    <row r="15" spans="1:12" x14ac:dyDescent="0.25">
      <c r="A15" s="42"/>
      <c r="B15" s="46"/>
      <c r="C15" s="42" t="s">
        <v>40</v>
      </c>
      <c r="D15" s="42"/>
      <c r="E15" s="55">
        <f>'1819 concert'!J15</f>
        <v>0</v>
      </c>
      <c r="F15" s="55">
        <f>'1920 concert'!I15</f>
        <v>806</v>
      </c>
      <c r="G15" s="55">
        <f>'2021 concert'!I15</f>
        <v>0</v>
      </c>
      <c r="H15" s="55">
        <f>'2122 concert'!I15</f>
        <v>0</v>
      </c>
      <c r="I15" s="55">
        <f>'2223 concert'!I15</f>
        <v>45</v>
      </c>
      <c r="J15" s="55">
        <f>'2324 concert'!I15</f>
        <v>0</v>
      </c>
      <c r="K15" s="48"/>
      <c r="L15" s="42"/>
    </row>
    <row r="16" spans="1:12" x14ac:dyDescent="0.25">
      <c r="A16" s="42"/>
      <c r="B16" s="46"/>
      <c r="C16" s="42" t="s">
        <v>139</v>
      </c>
      <c r="D16" s="42"/>
      <c r="E16" s="55">
        <f>'1819 concert'!J16</f>
        <v>0</v>
      </c>
      <c r="F16" s="55">
        <f>'1920 concert'!I16</f>
        <v>-446</v>
      </c>
      <c r="G16" s="55">
        <f>'2021 concert'!I16</f>
        <v>0</v>
      </c>
      <c r="H16" s="55">
        <f>'2122 concert'!I16</f>
        <v>0</v>
      </c>
      <c r="I16" s="55">
        <f>'2223 concert'!I16</f>
        <v>0</v>
      </c>
      <c r="J16" s="55">
        <f>'2324 concert'!I16</f>
        <v>0</v>
      </c>
      <c r="K16" s="48"/>
      <c r="L16" s="42"/>
    </row>
    <row r="17" spans="1:12" x14ac:dyDescent="0.25">
      <c r="A17" s="42"/>
      <c r="B17" s="46"/>
      <c r="C17" s="42" t="s">
        <v>100</v>
      </c>
      <c r="D17" s="42"/>
      <c r="E17" s="55">
        <f>'1819 concert'!J17</f>
        <v>15012.57</v>
      </c>
      <c r="F17" s="55">
        <f>'1920 concert'!I17</f>
        <v>13685</v>
      </c>
      <c r="G17" s="55">
        <f>'2021 concert'!I17</f>
        <v>0</v>
      </c>
      <c r="H17" s="55">
        <f>'2122 concert'!I17</f>
        <v>9973</v>
      </c>
      <c r="I17" s="55">
        <f>'2223 concert'!I17</f>
        <v>11896</v>
      </c>
      <c r="J17" s="55">
        <f>'2324 concert'!I17</f>
        <v>15523</v>
      </c>
      <c r="K17" s="48"/>
      <c r="L17" s="42"/>
    </row>
    <row r="18" spans="1:12" x14ac:dyDescent="0.25">
      <c r="A18" s="42"/>
      <c r="B18" s="46"/>
      <c r="C18" s="42" t="s">
        <v>44</v>
      </c>
      <c r="D18" s="42"/>
      <c r="E18" s="55">
        <f>'1819 concert'!J18</f>
        <v>817</v>
      </c>
      <c r="F18" s="55">
        <f>'1920 concert'!I18</f>
        <v>621</v>
      </c>
      <c r="G18" s="55">
        <f>'2021 concert'!I18</f>
        <v>0</v>
      </c>
      <c r="H18" s="55">
        <f>'2122 concert'!I18</f>
        <v>481.1</v>
      </c>
      <c r="I18" s="55">
        <f>'2223 concert'!I18</f>
        <v>531.81999999999994</v>
      </c>
      <c r="J18" s="55">
        <f>'2324 concert'!I18</f>
        <v>599</v>
      </c>
      <c r="K18" s="48"/>
      <c r="L18" s="42"/>
    </row>
    <row r="19" spans="1:12" x14ac:dyDescent="0.25">
      <c r="A19" s="42"/>
      <c r="B19" s="46"/>
      <c r="C19" s="42" t="s">
        <v>45</v>
      </c>
      <c r="D19" s="42"/>
      <c r="E19" s="55">
        <f>'1819 concert'!J19</f>
        <v>33</v>
      </c>
      <c r="F19" s="55">
        <f>'1920 concert'!I19</f>
        <v>0</v>
      </c>
      <c r="G19" s="55">
        <f>'2021 concert'!I19</f>
        <v>0</v>
      </c>
      <c r="H19" s="55">
        <f>'2122 concert'!I19</f>
        <v>0</v>
      </c>
      <c r="I19" s="55">
        <f>'2223 concert'!I19</f>
        <v>185.7</v>
      </c>
      <c r="J19" s="55">
        <f>'2324 concert'!I19</f>
        <v>174.8</v>
      </c>
      <c r="K19" s="48"/>
      <c r="L19" s="42"/>
    </row>
    <row r="20" spans="1:12" x14ac:dyDescent="0.25">
      <c r="A20" s="42"/>
      <c r="B20" s="46"/>
      <c r="C20" s="42" t="s">
        <v>102</v>
      </c>
      <c r="D20" s="42"/>
      <c r="E20" s="55">
        <f>'1819 concert'!J20</f>
        <v>175</v>
      </c>
      <c r="F20" s="55">
        <f>'1920 concert'!I20</f>
        <v>0</v>
      </c>
      <c r="G20" s="55">
        <f>'2021 concert'!I20</f>
        <v>0</v>
      </c>
      <c r="H20" s="55">
        <f>'2122 concert'!I20</f>
        <v>0</v>
      </c>
      <c r="I20" s="55">
        <f>'2223 concert'!I20</f>
        <v>0</v>
      </c>
      <c r="J20" s="55">
        <f>'2324 concert'!I20</f>
        <v>552</v>
      </c>
      <c r="K20" s="48"/>
      <c r="L20" s="42"/>
    </row>
    <row r="21" spans="1:12" s="7" customFormat="1" x14ac:dyDescent="0.25">
      <c r="A21" s="49"/>
      <c r="B21" s="50"/>
      <c r="C21" s="49" t="s">
        <v>82</v>
      </c>
      <c r="D21" s="49"/>
      <c r="E21" s="56">
        <f t="shared" ref="E21:J21" si="0">SUM(E17:E20)</f>
        <v>16037.57</v>
      </c>
      <c r="F21" s="56">
        <f t="shared" si="0"/>
        <v>14306</v>
      </c>
      <c r="G21" s="56">
        <f t="shared" si="0"/>
        <v>0</v>
      </c>
      <c r="H21" s="56">
        <f t="shared" si="0"/>
        <v>10454.1</v>
      </c>
      <c r="I21" s="56">
        <f t="shared" si="0"/>
        <v>12613.52</v>
      </c>
      <c r="J21" s="56">
        <f t="shared" si="0"/>
        <v>16848.8</v>
      </c>
      <c r="K21" s="52"/>
      <c r="L21" s="49"/>
    </row>
    <row r="22" spans="1:12" s="37" customFormat="1" x14ac:dyDescent="0.25">
      <c r="A22" s="66"/>
      <c r="B22" s="67"/>
      <c r="C22" s="66" t="s">
        <v>101</v>
      </c>
      <c r="D22" s="66"/>
      <c r="E22" s="68"/>
      <c r="F22" s="68"/>
      <c r="G22" s="68"/>
      <c r="H22" s="68"/>
      <c r="I22" s="68"/>
      <c r="J22" s="68"/>
      <c r="K22" s="69"/>
      <c r="L22" s="66"/>
    </row>
    <row r="23" spans="1:12" ht="5.0999999999999996" customHeight="1" x14ac:dyDescent="0.25">
      <c r="A23" s="42"/>
      <c r="B23" s="46"/>
      <c r="C23" s="42"/>
      <c r="D23" s="42"/>
      <c r="E23" s="55"/>
      <c r="F23" s="55"/>
      <c r="G23" s="55"/>
      <c r="H23" s="55"/>
      <c r="I23" s="55"/>
      <c r="J23" s="55"/>
      <c r="K23" s="48"/>
      <c r="L23" s="42"/>
    </row>
    <row r="24" spans="1:12" x14ac:dyDescent="0.25">
      <c r="A24" s="42"/>
      <c r="B24" s="46"/>
      <c r="C24" s="49" t="s">
        <v>16</v>
      </c>
      <c r="D24" s="42"/>
      <c r="E24" s="55"/>
      <c r="F24" s="55"/>
      <c r="G24" s="55"/>
      <c r="H24" s="55"/>
      <c r="I24" s="55"/>
      <c r="J24" s="55"/>
      <c r="K24" s="48"/>
      <c r="L24" s="42"/>
    </row>
    <row r="25" spans="1:12" x14ac:dyDescent="0.25">
      <c r="A25" s="42"/>
      <c r="B25" s="46"/>
      <c r="C25" s="65" t="s">
        <v>118</v>
      </c>
      <c r="D25" s="42"/>
      <c r="E25" s="55"/>
      <c r="F25" s="55"/>
      <c r="G25" s="55"/>
      <c r="H25" s="55"/>
      <c r="I25" s="55"/>
      <c r="J25" s="55"/>
      <c r="K25" s="48"/>
      <c r="L25" s="42"/>
    </row>
    <row r="26" spans="1:12" x14ac:dyDescent="0.25">
      <c r="A26" s="42"/>
      <c r="B26" s="46"/>
      <c r="C26" s="42" t="s">
        <v>47</v>
      </c>
      <c r="D26" s="42"/>
      <c r="E26" s="55">
        <f>'1819 concert'!J26</f>
        <v>2724</v>
      </c>
      <c r="F26" s="55">
        <f>'1920 concert'!I26</f>
        <v>2648</v>
      </c>
      <c r="G26" s="55">
        <f>'2021 concert'!I26</f>
        <v>2388.48</v>
      </c>
      <c r="H26" s="55">
        <f>'2122 concert'!I26</f>
        <v>2856</v>
      </c>
      <c r="I26" s="55">
        <f>'2223 concert'!I26</f>
        <v>2977.8</v>
      </c>
      <c r="J26" s="55">
        <f>'2324 concert'!I26</f>
        <v>3125.4900000000002</v>
      </c>
      <c r="K26" s="48"/>
      <c r="L26" s="42"/>
    </row>
    <row r="27" spans="1:12" x14ac:dyDescent="0.25">
      <c r="A27" s="42"/>
      <c r="B27" s="46"/>
      <c r="C27" s="42" t="s">
        <v>48</v>
      </c>
      <c r="D27" s="42"/>
      <c r="E27" s="55">
        <f>'1819 concert'!J27</f>
        <v>5161.47</v>
      </c>
      <c r="F27" s="55">
        <f>'1920 concert'!I27</f>
        <v>2340</v>
      </c>
      <c r="G27" s="55">
        <f>'2021 concert'!I27</f>
        <v>0</v>
      </c>
      <c r="H27" s="55">
        <f>'2122 concert'!I27</f>
        <v>3555</v>
      </c>
      <c r="I27" s="55">
        <f>'2223 concert'!I27</f>
        <v>3300</v>
      </c>
      <c r="J27" s="55">
        <f>'2324 concert'!I27</f>
        <v>1101</v>
      </c>
      <c r="K27" s="48"/>
      <c r="L27" s="42"/>
    </row>
    <row r="28" spans="1:12" x14ac:dyDescent="0.25">
      <c r="A28" s="42"/>
      <c r="B28" s="46"/>
      <c r="C28" s="42" t="s">
        <v>49</v>
      </c>
      <c r="D28" s="42"/>
      <c r="E28" s="55">
        <f>'1819 concert'!J28</f>
        <v>1601</v>
      </c>
      <c r="F28" s="55">
        <f>'1920 concert'!I28</f>
        <v>923</v>
      </c>
      <c r="G28" s="55">
        <f>'2021 concert'!I28</f>
        <v>1143.48</v>
      </c>
      <c r="H28" s="55">
        <f>'2122 concert'!I28</f>
        <v>1342</v>
      </c>
      <c r="I28" s="55">
        <f>'2223 concert'!I28</f>
        <v>816.90000000000009</v>
      </c>
      <c r="J28" s="55">
        <f>'2324 concert'!I28</f>
        <v>1286.7450000000001</v>
      </c>
      <c r="K28" s="48"/>
      <c r="L28" s="42"/>
    </row>
    <row r="29" spans="1:12" x14ac:dyDescent="0.25">
      <c r="A29" s="42"/>
      <c r="B29" s="46"/>
      <c r="C29" s="42" t="s">
        <v>50</v>
      </c>
      <c r="D29" s="42"/>
      <c r="E29" s="55">
        <f>'1819 concert'!J29</f>
        <v>2475</v>
      </c>
      <c r="F29" s="55">
        <f>'1920 concert'!I29</f>
        <v>750</v>
      </c>
      <c r="G29" s="55">
        <f>'2021 concert'!I29</f>
        <v>0</v>
      </c>
      <c r="H29" s="55">
        <f>'2122 concert'!I29</f>
        <v>2715</v>
      </c>
      <c r="I29" s="55">
        <f>'2223 concert'!I29</f>
        <v>2300</v>
      </c>
      <c r="J29" s="55">
        <f>'2324 concert'!I29</f>
        <v>2725</v>
      </c>
      <c r="K29" s="48"/>
      <c r="L29" s="42"/>
    </row>
    <row r="30" spans="1:12" x14ac:dyDescent="0.25">
      <c r="A30" s="42"/>
      <c r="B30" s="46"/>
      <c r="C30" s="42" t="s">
        <v>51</v>
      </c>
      <c r="D30" s="42"/>
      <c r="E30" s="55">
        <f>'1819 concert'!J30</f>
        <v>602</v>
      </c>
      <c r="F30" s="55">
        <f>'1920 concert'!I30</f>
        <v>0</v>
      </c>
      <c r="G30" s="55">
        <f>'2021 concert'!I30</f>
        <v>0</v>
      </c>
      <c r="H30" s="55">
        <f>'2122 concert'!I30</f>
        <v>1236</v>
      </c>
      <c r="I30" s="55">
        <f>'2223 concert'!I30</f>
        <v>873</v>
      </c>
      <c r="J30" s="55">
        <f>'2324 concert'!I30</f>
        <v>500</v>
      </c>
      <c r="K30" s="48"/>
      <c r="L30" s="42"/>
    </row>
    <row r="31" spans="1:12" x14ac:dyDescent="0.25">
      <c r="A31" s="42"/>
      <c r="B31" s="46"/>
      <c r="C31" s="42" t="s">
        <v>52</v>
      </c>
      <c r="D31" s="42"/>
      <c r="E31" s="55">
        <f>'1819 concert'!J31</f>
        <v>350</v>
      </c>
      <c r="F31" s="55">
        <f>'1920 concert'!I31</f>
        <v>600</v>
      </c>
      <c r="G31" s="55">
        <f>'2021 concert'!I31</f>
        <v>0</v>
      </c>
      <c r="H31" s="55">
        <f>'2122 concert'!I31</f>
        <v>0</v>
      </c>
      <c r="I31" s="55">
        <f>'2223 concert'!I31</f>
        <v>1075</v>
      </c>
      <c r="J31" s="55">
        <f>'2324 concert'!I31</f>
        <v>500</v>
      </c>
      <c r="K31" s="48"/>
      <c r="L31" s="42"/>
    </row>
    <row r="32" spans="1:12" x14ac:dyDescent="0.25">
      <c r="A32" s="42"/>
      <c r="B32" s="46"/>
      <c r="C32" s="65" t="s">
        <v>53</v>
      </c>
      <c r="D32" s="42"/>
      <c r="E32" s="55"/>
      <c r="F32" s="55"/>
      <c r="G32" s="55"/>
      <c r="H32" s="55"/>
      <c r="I32" s="55"/>
      <c r="J32" s="55"/>
      <c r="K32" s="48"/>
      <c r="L32" s="42"/>
    </row>
    <row r="33" spans="1:12" x14ac:dyDescent="0.25">
      <c r="A33" s="42"/>
      <c r="B33" s="46"/>
      <c r="C33" s="42" t="s">
        <v>54</v>
      </c>
      <c r="D33" s="42"/>
      <c r="E33" s="55">
        <f>'1819 concert'!J33</f>
        <v>4122.7</v>
      </c>
      <c r="F33" s="55">
        <f>'1920 concert'!I33</f>
        <v>4356</v>
      </c>
      <c r="G33" s="55">
        <f>'2021 concert'!I33</f>
        <v>-20</v>
      </c>
      <c r="H33" s="55">
        <f>'2122 concert'!I33</f>
        <v>4694</v>
      </c>
      <c r="I33" s="55">
        <f>'2223 concert'!I33</f>
        <v>3589</v>
      </c>
      <c r="J33" s="55">
        <f>'2324 concert'!I33</f>
        <v>4878</v>
      </c>
      <c r="K33" s="48"/>
      <c r="L33" s="42"/>
    </row>
    <row r="34" spans="1:12" x14ac:dyDescent="0.25">
      <c r="A34" s="42"/>
      <c r="B34" s="46"/>
      <c r="C34" s="42" t="s">
        <v>55</v>
      </c>
      <c r="D34" s="42"/>
      <c r="E34" s="55">
        <f>'1819 concert'!J34</f>
        <v>465</v>
      </c>
      <c r="F34" s="55">
        <f>'1920 concert'!I34</f>
        <v>1432</v>
      </c>
      <c r="G34" s="55">
        <f>'2021 concert'!I34</f>
        <v>0</v>
      </c>
      <c r="H34" s="55">
        <f>'2122 concert'!I34</f>
        <v>469</v>
      </c>
      <c r="I34" s="55">
        <f>'2223 concert'!I34</f>
        <v>793</v>
      </c>
      <c r="J34" s="55">
        <f>'2324 concert'!I34</f>
        <v>1924</v>
      </c>
      <c r="K34" s="48"/>
      <c r="L34" s="42"/>
    </row>
    <row r="35" spans="1:12" x14ac:dyDescent="0.25">
      <c r="A35" s="42"/>
      <c r="B35" s="46"/>
      <c r="C35" s="42" t="s">
        <v>56</v>
      </c>
      <c r="D35" s="42"/>
      <c r="E35" s="55">
        <f>'1819 concert'!J35</f>
        <v>0</v>
      </c>
      <c r="F35" s="55">
        <f>'1920 concert'!I35</f>
        <v>162</v>
      </c>
      <c r="G35" s="55">
        <f>'2021 concert'!I35</f>
        <v>0</v>
      </c>
      <c r="H35" s="55">
        <f>'2122 concert'!I35</f>
        <v>1500</v>
      </c>
      <c r="I35" s="55">
        <f>'2223 concert'!I35</f>
        <v>0</v>
      </c>
      <c r="J35" s="55">
        <f>'2324 concert'!I35</f>
        <v>1600</v>
      </c>
      <c r="K35" s="48"/>
      <c r="L35" s="42"/>
    </row>
    <row r="36" spans="1:12" x14ac:dyDescent="0.25">
      <c r="A36" s="42"/>
      <c r="B36" s="46"/>
      <c r="C36" s="42" t="s">
        <v>57</v>
      </c>
      <c r="D36" s="42"/>
      <c r="E36" s="55">
        <f>'1819 concert'!J36</f>
        <v>682</v>
      </c>
      <c r="F36" s="55">
        <f>'1920 concert'!I36</f>
        <v>1964</v>
      </c>
      <c r="G36" s="55">
        <f>'2021 concert'!I36</f>
        <v>0</v>
      </c>
      <c r="H36" s="55">
        <f>'2122 concert'!I36</f>
        <v>504</v>
      </c>
      <c r="I36" s="55">
        <f>'2223 concert'!I36</f>
        <v>65</v>
      </c>
      <c r="J36" s="55">
        <f>'2324 concert'!I36</f>
        <v>177</v>
      </c>
      <c r="K36" s="48"/>
      <c r="L36" s="42"/>
    </row>
    <row r="37" spans="1:12" x14ac:dyDescent="0.25">
      <c r="A37" s="42"/>
      <c r="B37" s="46"/>
      <c r="C37" s="65" t="s">
        <v>58</v>
      </c>
      <c r="D37" s="42"/>
      <c r="E37" s="55"/>
      <c r="F37" s="55"/>
      <c r="G37" s="55"/>
      <c r="H37" s="55"/>
      <c r="I37" s="55"/>
      <c r="J37" s="55"/>
      <c r="K37" s="48"/>
      <c r="L37" s="42"/>
    </row>
    <row r="38" spans="1:12" x14ac:dyDescent="0.25">
      <c r="A38" s="42"/>
      <c r="B38" s="46"/>
      <c r="C38" s="42" t="s">
        <v>43</v>
      </c>
      <c r="D38" s="42"/>
      <c r="E38" s="55">
        <f>'1819 concert'!J38</f>
        <v>269</v>
      </c>
      <c r="F38" s="55">
        <f>'1920 concert'!I38</f>
        <v>128</v>
      </c>
      <c r="G38" s="55">
        <f>'2021 concert'!I38</f>
        <v>0</v>
      </c>
      <c r="H38" s="55">
        <f>'2122 concert'!I38</f>
        <v>141</v>
      </c>
      <c r="I38" s="55">
        <f>'2223 concert'!I38</f>
        <v>221</v>
      </c>
      <c r="J38" s="55">
        <f>'2324 concert'!I38</f>
        <v>256</v>
      </c>
      <c r="K38" s="48"/>
      <c r="L38" s="42"/>
    </row>
    <row r="39" spans="1:12" x14ac:dyDescent="0.25">
      <c r="A39" s="42"/>
      <c r="B39" s="46"/>
      <c r="C39" s="42" t="s">
        <v>30</v>
      </c>
      <c r="D39" s="42"/>
      <c r="E39" s="55">
        <f>'1819 concert'!J39</f>
        <v>171</v>
      </c>
      <c r="F39" s="55">
        <f>'1920 concert'!I39</f>
        <v>203</v>
      </c>
      <c r="G39" s="55">
        <f>'2021 concert'!I39</f>
        <v>0</v>
      </c>
      <c r="H39" s="55">
        <f>'2122 concert'!I39</f>
        <v>25</v>
      </c>
      <c r="I39" s="55">
        <f>'2223 concert'!I39</f>
        <v>84</v>
      </c>
      <c r="J39" s="55">
        <f>'2324 concert'!I39</f>
        <v>101.5</v>
      </c>
      <c r="K39" s="48"/>
      <c r="L39" s="42"/>
    </row>
    <row r="40" spans="1:12" x14ac:dyDescent="0.25">
      <c r="A40" s="42"/>
      <c r="B40" s="46"/>
      <c r="C40" s="42" t="s">
        <v>119</v>
      </c>
      <c r="D40" s="42"/>
      <c r="E40" s="55">
        <f>'1819 concert'!J40</f>
        <v>1531</v>
      </c>
      <c r="F40" s="55">
        <f>'1920 concert'!I40</f>
        <v>1222</v>
      </c>
      <c r="G40" s="55">
        <f>'2021 concert'!I40</f>
        <v>0</v>
      </c>
      <c r="H40" s="55">
        <f>'2122 concert'!I40</f>
        <v>977</v>
      </c>
      <c r="I40" s="55">
        <f>'2223 concert'!I40</f>
        <v>801</v>
      </c>
      <c r="J40" s="55">
        <f>'2324 concert'!I40</f>
        <v>982</v>
      </c>
      <c r="K40" s="48"/>
      <c r="L40" s="42"/>
    </row>
    <row r="41" spans="1:12" x14ac:dyDescent="0.25">
      <c r="A41" s="42"/>
      <c r="B41" s="46"/>
      <c r="C41" s="42" t="s">
        <v>60</v>
      </c>
      <c r="D41" s="42"/>
      <c r="E41" s="55">
        <f>'1819 concert'!J41</f>
        <v>690</v>
      </c>
      <c r="F41" s="55">
        <f>'1920 concert'!I41</f>
        <v>625</v>
      </c>
      <c r="G41" s="55">
        <f>'2021 concert'!I41</f>
        <v>0</v>
      </c>
      <c r="H41" s="55">
        <f>'2122 concert'!I41</f>
        <v>515</v>
      </c>
      <c r="I41" s="55">
        <f>'2223 concert'!I41</f>
        <v>609</v>
      </c>
      <c r="J41" s="55">
        <f>'2324 concert'!I41</f>
        <v>640</v>
      </c>
      <c r="K41" s="48"/>
      <c r="L41" s="42"/>
    </row>
    <row r="42" spans="1:12" x14ac:dyDescent="0.25">
      <c r="A42" s="42"/>
      <c r="B42" s="46"/>
      <c r="C42" s="65" t="s">
        <v>120</v>
      </c>
      <c r="D42" s="42"/>
      <c r="E42" s="55"/>
      <c r="F42" s="55"/>
      <c r="G42" s="55"/>
      <c r="H42" s="55"/>
      <c r="I42" s="55"/>
      <c r="J42" s="55"/>
      <c r="K42" s="48"/>
      <c r="L42" s="42"/>
    </row>
    <row r="43" spans="1:12" x14ac:dyDescent="0.25">
      <c r="A43" s="42"/>
      <c r="B43" s="46"/>
      <c r="C43" s="42" t="s">
        <v>45</v>
      </c>
      <c r="D43" s="42"/>
      <c r="E43" s="55">
        <f>'1819 concert'!J43</f>
        <v>222</v>
      </c>
      <c r="F43" s="55">
        <f>'1920 concert'!I43</f>
        <v>196</v>
      </c>
      <c r="G43" s="55">
        <f>'2021 concert'!I43</f>
        <v>0</v>
      </c>
      <c r="H43" s="55">
        <f>'2122 concert'!I43</f>
        <v>0</v>
      </c>
      <c r="I43" s="55">
        <f>'2223 concert'!I43</f>
        <v>197</v>
      </c>
      <c r="J43" s="55">
        <f>'2324 concert'!I43</f>
        <v>224</v>
      </c>
      <c r="K43" s="48"/>
      <c r="L43" s="42"/>
    </row>
    <row r="44" spans="1:12" x14ac:dyDescent="0.25">
      <c r="A44" s="42"/>
      <c r="B44" s="46"/>
      <c r="C44" s="42" t="s">
        <v>64</v>
      </c>
      <c r="D44" s="42"/>
      <c r="E44" s="55">
        <f>'1819 concert'!J44</f>
        <v>0</v>
      </c>
      <c r="F44" s="55">
        <f>'1920 concert'!I44</f>
        <v>25</v>
      </c>
      <c r="G44" s="55">
        <f>'2021 concert'!I44</f>
        <v>0</v>
      </c>
      <c r="H44" s="55">
        <f>'2122 concert'!I44</f>
        <v>0</v>
      </c>
      <c r="I44" s="55">
        <f>'2223 concert'!I44</f>
        <v>0</v>
      </c>
      <c r="J44" s="55">
        <f>'2324 concert'!I44</f>
        <v>30</v>
      </c>
      <c r="K44" s="48"/>
      <c r="L44" s="42"/>
    </row>
    <row r="45" spans="1:12" x14ac:dyDescent="0.25">
      <c r="A45" s="42"/>
      <c r="B45" s="46"/>
      <c r="C45" s="42" t="s">
        <v>65</v>
      </c>
      <c r="D45" s="42"/>
      <c r="E45" s="55">
        <f>'1819 concert'!J45</f>
        <v>512</v>
      </c>
      <c r="F45" s="55">
        <f>'1920 concert'!I45</f>
        <v>587</v>
      </c>
      <c r="G45" s="55">
        <f>'2021 concert'!I45</f>
        <v>0</v>
      </c>
      <c r="H45" s="55">
        <f>'2122 concert'!I45</f>
        <v>310</v>
      </c>
      <c r="I45" s="55">
        <f>'2223 concert'!I45</f>
        <v>389.23</v>
      </c>
      <c r="J45" s="55">
        <f>'2324 concert'!I45</f>
        <v>454</v>
      </c>
      <c r="K45" s="48"/>
      <c r="L45" s="42"/>
    </row>
    <row r="46" spans="1:12" x14ac:dyDescent="0.25">
      <c r="A46" s="42"/>
      <c r="B46" s="46"/>
      <c r="C46" s="42" t="s">
        <v>199</v>
      </c>
      <c r="D46" s="42"/>
      <c r="E46" s="55">
        <v>0</v>
      </c>
      <c r="F46" s="55">
        <v>0</v>
      </c>
      <c r="G46" s="55">
        <f>'2021 concert'!I46</f>
        <v>0</v>
      </c>
      <c r="H46" s="55">
        <v>0</v>
      </c>
      <c r="I46" s="55">
        <v>0</v>
      </c>
      <c r="J46" s="55">
        <f>'2324 concert'!I46</f>
        <v>410</v>
      </c>
      <c r="K46" s="48"/>
      <c r="L46" s="42"/>
    </row>
    <row r="47" spans="1:12" x14ac:dyDescent="0.25">
      <c r="A47" s="42"/>
      <c r="B47" s="46"/>
      <c r="C47" s="42" t="s">
        <v>143</v>
      </c>
      <c r="D47" s="42"/>
      <c r="E47" s="55">
        <f>'1819 concert'!J46</f>
        <v>109</v>
      </c>
      <c r="F47" s="55">
        <f>'1920 concert'!I46</f>
        <v>215</v>
      </c>
      <c r="G47" s="55">
        <f>'2021 concert'!I46</f>
        <v>0</v>
      </c>
      <c r="H47" s="55">
        <f>'2122 concert'!I46</f>
        <v>73</v>
      </c>
      <c r="I47" s="55">
        <f>'2223 concert'!I46</f>
        <v>195</v>
      </c>
      <c r="J47" s="55">
        <f>'2324 concert'!I47</f>
        <v>200</v>
      </c>
      <c r="K47" s="48"/>
      <c r="L47" s="42"/>
    </row>
    <row r="48" spans="1:12" ht="15.75" x14ac:dyDescent="0.25">
      <c r="A48" s="42"/>
      <c r="B48" s="46"/>
      <c r="C48" s="53" t="s">
        <v>16</v>
      </c>
      <c r="D48" s="42"/>
      <c r="E48" s="56">
        <f t="shared" ref="E48:J48" si="1">SUM(E26:E47)</f>
        <v>21687.170000000002</v>
      </c>
      <c r="F48" s="56">
        <f t="shared" si="1"/>
        <v>18376</v>
      </c>
      <c r="G48" s="56">
        <f t="shared" si="1"/>
        <v>3511.96</v>
      </c>
      <c r="H48" s="56">
        <f t="shared" si="1"/>
        <v>20912</v>
      </c>
      <c r="I48" s="56">
        <f t="shared" si="1"/>
        <v>18285.93</v>
      </c>
      <c r="J48" s="56">
        <f t="shared" si="1"/>
        <v>21114.735000000001</v>
      </c>
      <c r="K48" s="48"/>
      <c r="L48" s="42"/>
    </row>
    <row r="49" spans="1:12" ht="5.0999999999999996" customHeight="1" x14ac:dyDescent="0.25">
      <c r="A49" s="42"/>
      <c r="B49" s="46"/>
      <c r="C49" s="42"/>
      <c r="D49" s="42"/>
      <c r="E49" s="55"/>
      <c r="F49" s="55"/>
      <c r="G49" s="55"/>
      <c r="H49" s="55"/>
      <c r="I49" s="55"/>
      <c r="J49" s="55"/>
      <c r="K49" s="48"/>
      <c r="L49" s="42"/>
    </row>
    <row r="50" spans="1:12" ht="15.75" x14ac:dyDescent="0.25">
      <c r="A50" s="42"/>
      <c r="B50" s="46"/>
      <c r="C50" s="53" t="s">
        <v>121</v>
      </c>
      <c r="D50" s="42"/>
      <c r="E50" s="56">
        <f t="shared" ref="E50:J50" si="2">E21-E48</f>
        <v>-5649.6000000000022</v>
      </c>
      <c r="F50" s="56">
        <f t="shared" si="2"/>
        <v>-4070</v>
      </c>
      <c r="G50" s="56">
        <f t="shared" si="2"/>
        <v>-3511.96</v>
      </c>
      <c r="H50" s="56">
        <f t="shared" si="2"/>
        <v>-10457.9</v>
      </c>
      <c r="I50" s="56">
        <f t="shared" si="2"/>
        <v>-5672.41</v>
      </c>
      <c r="J50" s="56">
        <f t="shared" si="2"/>
        <v>-4265.9350000000013</v>
      </c>
      <c r="K50" s="48"/>
      <c r="L50" s="42"/>
    </row>
    <row r="51" spans="1:12" ht="5.0999999999999996" customHeight="1" thickBot="1" x14ac:dyDescent="0.3">
      <c r="A51" s="42"/>
      <c r="B51" s="57"/>
      <c r="C51" s="58"/>
      <c r="D51" s="58"/>
      <c r="E51" s="58"/>
      <c r="F51" s="58"/>
      <c r="G51" s="58"/>
      <c r="H51" s="58"/>
      <c r="I51" s="58"/>
      <c r="J51" s="58"/>
      <c r="K51" s="59"/>
      <c r="L51" s="42"/>
    </row>
    <row r="52" spans="1:12" ht="5.0999999999999996" customHeigh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1"/>
  <sheetViews>
    <sheetView topLeftCell="A37" workbookViewId="0">
      <selection activeCell="J4" sqref="J1:J1048576"/>
    </sheetView>
  </sheetViews>
  <sheetFormatPr defaultColWidth="8.7109375" defaultRowHeight="15" x14ac:dyDescent="0.25"/>
  <cols>
    <col min="1" max="2" width="1.5703125" customWidth="1"/>
    <col min="3" max="3" width="28.42578125" customWidth="1"/>
    <col min="4" max="4" width="1.5703125" customWidth="1"/>
    <col min="5" max="10" width="10.5703125" customWidth="1"/>
    <col min="11" max="12" width="1.5703125" customWidth="1"/>
    <col min="13" max="13" width="12" customWidth="1"/>
  </cols>
  <sheetData>
    <row r="1" spans="1:12" ht="5.0999999999999996" customHeight="1" thickBot="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5.0999999999999996" customHeight="1" x14ac:dyDescent="0.25">
      <c r="A2" s="42"/>
      <c r="B2" s="43"/>
      <c r="C2" s="44"/>
      <c r="D2" s="44"/>
      <c r="E2" s="44"/>
      <c r="F2" s="44"/>
      <c r="G2" s="44"/>
      <c r="H2" s="44"/>
      <c r="I2" s="44"/>
      <c r="J2" s="44"/>
      <c r="K2" s="45"/>
      <c r="L2" s="42"/>
    </row>
    <row r="3" spans="1:12" ht="18.75" x14ac:dyDescent="0.3">
      <c r="A3" s="42"/>
      <c r="B3" s="46"/>
      <c r="C3" s="47" t="s">
        <v>0</v>
      </c>
      <c r="D3" s="42"/>
      <c r="E3" s="42"/>
      <c r="F3" s="42"/>
      <c r="G3" s="42"/>
      <c r="H3" s="42"/>
      <c r="I3" s="42"/>
      <c r="J3" s="42"/>
      <c r="K3" s="48"/>
      <c r="L3" s="42"/>
    </row>
    <row r="4" spans="1:12" ht="18.75" x14ac:dyDescent="0.3">
      <c r="A4" s="42"/>
      <c r="B4" s="46"/>
      <c r="C4" s="47" t="s">
        <v>83</v>
      </c>
      <c r="D4" s="42"/>
      <c r="E4" s="42"/>
      <c r="F4" s="42"/>
      <c r="G4" s="42"/>
      <c r="H4" s="42"/>
      <c r="I4" s="42"/>
      <c r="J4" s="42"/>
      <c r="K4" s="48"/>
      <c r="L4" s="42"/>
    </row>
    <row r="5" spans="1:12" ht="18.75" x14ac:dyDescent="0.3">
      <c r="A5" s="42"/>
      <c r="B5" s="46"/>
      <c r="C5" s="47" t="s">
        <v>4</v>
      </c>
      <c r="D5" s="42"/>
      <c r="E5" s="42"/>
      <c r="F5" s="42"/>
      <c r="G5" s="42"/>
      <c r="H5" s="42"/>
      <c r="I5" s="42"/>
      <c r="J5" s="42"/>
      <c r="K5" s="48"/>
      <c r="L5" s="42"/>
    </row>
    <row r="6" spans="1:12" ht="5.0999999999999996" customHeight="1" x14ac:dyDescent="0.25">
      <c r="A6" s="42"/>
      <c r="B6" s="46"/>
      <c r="C6" s="42"/>
      <c r="D6" s="42"/>
      <c r="E6" s="42"/>
      <c r="F6" s="42"/>
      <c r="G6" s="42"/>
      <c r="H6" s="42"/>
      <c r="I6" s="42"/>
      <c r="J6" s="42"/>
      <c r="K6" s="48"/>
      <c r="L6" s="42"/>
    </row>
    <row r="7" spans="1:12" s="7" customFormat="1" ht="14.45" customHeight="1" x14ac:dyDescent="0.3">
      <c r="A7" s="49"/>
      <c r="B7" s="50"/>
      <c r="C7" s="47"/>
      <c r="D7" s="49"/>
      <c r="E7" s="51" t="s">
        <v>134</v>
      </c>
      <c r="F7" s="51" t="s">
        <v>68</v>
      </c>
      <c r="G7" s="51" t="s">
        <v>130</v>
      </c>
      <c r="H7" s="51" t="s">
        <v>69</v>
      </c>
      <c r="I7" s="51" t="s">
        <v>70</v>
      </c>
      <c r="J7" s="51" t="s">
        <v>100</v>
      </c>
      <c r="K7" s="52"/>
      <c r="L7" s="49"/>
    </row>
    <row r="8" spans="1:12" s="7" customFormat="1" ht="14.45" customHeight="1" x14ac:dyDescent="0.3">
      <c r="A8" s="49"/>
      <c r="B8" s="50"/>
      <c r="C8" s="47"/>
      <c r="D8" s="49"/>
      <c r="E8" s="51" t="s">
        <v>81</v>
      </c>
      <c r="F8" s="51" t="s">
        <v>79</v>
      </c>
      <c r="G8" s="51" t="s">
        <v>54</v>
      </c>
      <c r="H8" s="51" t="s">
        <v>81</v>
      </c>
      <c r="I8" s="51" t="s">
        <v>133</v>
      </c>
      <c r="J8" s="51"/>
      <c r="K8" s="52"/>
      <c r="L8" s="49"/>
    </row>
    <row r="9" spans="1:12" ht="5.0999999999999996" customHeight="1" x14ac:dyDescent="0.25">
      <c r="A9" s="42"/>
      <c r="B9" s="46"/>
      <c r="C9" s="42"/>
      <c r="D9" s="42"/>
      <c r="E9" s="42"/>
      <c r="F9" s="42"/>
      <c r="G9" s="42"/>
      <c r="H9" s="42"/>
      <c r="I9" s="42"/>
      <c r="J9" s="42"/>
      <c r="K9" s="48"/>
      <c r="L9" s="42"/>
    </row>
    <row r="10" spans="1:12" ht="15.75" x14ac:dyDescent="0.25">
      <c r="A10" s="42"/>
      <c r="B10" s="46"/>
      <c r="C10" s="53" t="s">
        <v>42</v>
      </c>
      <c r="D10" s="42"/>
      <c r="E10" s="54"/>
      <c r="F10" s="54"/>
      <c r="G10" s="54"/>
      <c r="H10" s="42"/>
      <c r="I10" s="42"/>
      <c r="J10" s="42"/>
      <c r="K10" s="48"/>
      <c r="L10" s="42"/>
    </row>
    <row r="11" spans="1:12" x14ac:dyDescent="0.25">
      <c r="A11" s="42"/>
      <c r="B11" s="46"/>
      <c r="C11" s="42" t="s">
        <v>99</v>
      </c>
      <c r="D11" s="42"/>
      <c r="E11" s="55"/>
      <c r="F11" s="55"/>
      <c r="G11" s="55"/>
      <c r="H11" s="55"/>
      <c r="I11" s="55"/>
      <c r="J11" s="55">
        <f>SUM(E11:I11)</f>
        <v>0</v>
      </c>
      <c r="K11" s="48"/>
      <c r="L11" s="42"/>
    </row>
    <row r="12" spans="1:12" x14ac:dyDescent="0.25">
      <c r="A12" s="42"/>
      <c r="B12" s="46"/>
      <c r="C12" s="42" t="s">
        <v>115</v>
      </c>
      <c r="D12" s="42"/>
      <c r="E12" s="55"/>
      <c r="F12" s="55"/>
      <c r="G12" s="55"/>
      <c r="H12" s="55"/>
      <c r="I12" s="55"/>
      <c r="J12" s="55">
        <f t="shared" ref="J12:J22" si="0">SUM(E12:I12)</f>
        <v>0</v>
      </c>
      <c r="K12" s="48"/>
      <c r="L12" s="42"/>
    </row>
    <row r="13" spans="1:12" x14ac:dyDescent="0.25">
      <c r="A13" s="42"/>
      <c r="B13" s="46"/>
      <c r="C13" s="42" t="s">
        <v>116</v>
      </c>
      <c r="D13" s="42"/>
      <c r="E13" s="55"/>
      <c r="F13" s="55"/>
      <c r="G13" s="55"/>
      <c r="H13" s="55"/>
      <c r="I13" s="55"/>
      <c r="J13" s="55">
        <f t="shared" si="0"/>
        <v>0</v>
      </c>
      <c r="K13" s="48"/>
      <c r="L13" s="42"/>
    </row>
    <row r="14" spans="1:12" x14ac:dyDescent="0.25">
      <c r="A14" s="42"/>
      <c r="B14" s="46"/>
      <c r="C14" s="42" t="s">
        <v>117</v>
      </c>
      <c r="D14" s="42"/>
      <c r="E14" s="55"/>
      <c r="F14" s="55"/>
      <c r="G14" s="55"/>
      <c r="H14" s="55"/>
      <c r="I14" s="55"/>
      <c r="J14" s="55">
        <f t="shared" si="0"/>
        <v>0</v>
      </c>
      <c r="K14" s="48"/>
      <c r="L14" s="42"/>
    </row>
    <row r="15" spans="1:12" x14ac:dyDescent="0.25">
      <c r="A15" s="42"/>
      <c r="B15" s="46"/>
      <c r="C15" s="42" t="s">
        <v>40</v>
      </c>
      <c r="D15" s="42"/>
      <c r="E15" s="55"/>
      <c r="F15" s="55"/>
      <c r="G15" s="55"/>
      <c r="H15" s="55"/>
      <c r="I15" s="55"/>
      <c r="J15" s="55">
        <f t="shared" si="0"/>
        <v>0</v>
      </c>
      <c r="K15" s="48"/>
      <c r="L15" s="42"/>
    </row>
    <row r="16" spans="1:12" x14ac:dyDescent="0.25">
      <c r="A16" s="42"/>
      <c r="B16" s="46"/>
      <c r="C16" s="42" t="s">
        <v>139</v>
      </c>
      <c r="D16" s="42"/>
      <c r="E16" s="55"/>
      <c r="F16" s="55"/>
      <c r="G16" s="55"/>
      <c r="H16" s="55"/>
      <c r="I16" s="55"/>
      <c r="J16" s="55"/>
      <c r="K16" s="48"/>
      <c r="L16" s="42"/>
    </row>
    <row r="17" spans="1:12" x14ac:dyDescent="0.25">
      <c r="A17" s="42"/>
      <c r="B17" s="46"/>
      <c r="C17" s="42" t="s">
        <v>100</v>
      </c>
      <c r="D17" s="42"/>
      <c r="E17" s="55"/>
      <c r="F17" s="55">
        <v>3090</v>
      </c>
      <c r="G17" s="55">
        <v>3124</v>
      </c>
      <c r="H17" s="55">
        <v>7256</v>
      </c>
      <c r="I17" s="55">
        <v>1542.57</v>
      </c>
      <c r="J17" s="55">
        <f t="shared" si="0"/>
        <v>15012.57</v>
      </c>
      <c r="K17" s="48"/>
      <c r="L17" s="42"/>
    </row>
    <row r="18" spans="1:12" x14ac:dyDescent="0.25">
      <c r="A18" s="42"/>
      <c r="B18" s="46"/>
      <c r="C18" s="42" t="s">
        <v>44</v>
      </c>
      <c r="D18" s="42"/>
      <c r="E18" s="55"/>
      <c r="F18" s="55">
        <v>210</v>
      </c>
      <c r="G18" s="55">
        <v>114</v>
      </c>
      <c r="H18" s="55">
        <v>395</v>
      </c>
      <c r="I18" s="55">
        <v>98</v>
      </c>
      <c r="J18" s="55">
        <f t="shared" si="0"/>
        <v>817</v>
      </c>
      <c r="K18" s="48"/>
      <c r="L18" s="42"/>
    </row>
    <row r="19" spans="1:12" x14ac:dyDescent="0.25">
      <c r="A19" s="42"/>
      <c r="B19" s="46"/>
      <c r="C19" s="42" t="s">
        <v>45</v>
      </c>
      <c r="D19" s="42"/>
      <c r="E19" s="55"/>
      <c r="F19" s="55"/>
      <c r="G19" s="55"/>
      <c r="H19" s="55"/>
      <c r="I19" s="55">
        <v>33</v>
      </c>
      <c r="J19" s="55">
        <f t="shared" si="0"/>
        <v>33</v>
      </c>
      <c r="K19" s="48"/>
      <c r="L19" s="42"/>
    </row>
    <row r="20" spans="1:12" x14ac:dyDescent="0.25">
      <c r="A20" s="42"/>
      <c r="B20" s="46"/>
      <c r="C20" s="42" t="s">
        <v>102</v>
      </c>
      <c r="D20" s="42"/>
      <c r="E20" s="55">
        <v>175</v>
      </c>
      <c r="F20" s="55"/>
      <c r="G20" s="55"/>
      <c r="H20" s="55"/>
      <c r="I20" s="55"/>
      <c r="J20" s="55">
        <f t="shared" si="0"/>
        <v>175</v>
      </c>
      <c r="K20" s="48"/>
      <c r="L20" s="42"/>
    </row>
    <row r="21" spans="1:12" s="7" customFormat="1" x14ac:dyDescent="0.25">
      <c r="A21" s="49"/>
      <c r="B21" s="50"/>
      <c r="C21" s="49" t="s">
        <v>82</v>
      </c>
      <c r="D21" s="49"/>
      <c r="E21" s="56">
        <f t="shared" ref="E21:J21" si="1">SUM(E11:E20)</f>
        <v>175</v>
      </c>
      <c r="F21" s="56">
        <f t="shared" si="1"/>
        <v>3300</v>
      </c>
      <c r="G21" s="56">
        <f t="shared" si="1"/>
        <v>3238</v>
      </c>
      <c r="H21" s="56">
        <f t="shared" si="1"/>
        <v>7651</v>
      </c>
      <c r="I21" s="56">
        <f t="shared" si="1"/>
        <v>1673.57</v>
      </c>
      <c r="J21" s="56">
        <f t="shared" si="1"/>
        <v>16037.57</v>
      </c>
      <c r="K21" s="52"/>
      <c r="L21" s="49"/>
    </row>
    <row r="22" spans="1:12" s="37" customFormat="1" x14ac:dyDescent="0.25">
      <c r="A22" s="66"/>
      <c r="B22" s="67"/>
      <c r="C22" s="66" t="s">
        <v>101</v>
      </c>
      <c r="D22" s="66"/>
      <c r="E22" s="68"/>
      <c r="F22" s="68">
        <v>228</v>
      </c>
      <c r="G22" s="68"/>
      <c r="H22" s="68"/>
      <c r="I22" s="68"/>
      <c r="J22" s="55">
        <f t="shared" si="0"/>
        <v>228</v>
      </c>
      <c r="K22" s="69"/>
      <c r="L22" s="66"/>
    </row>
    <row r="23" spans="1:12" ht="5.0999999999999996" customHeight="1" x14ac:dyDescent="0.25">
      <c r="A23" s="42"/>
      <c r="B23" s="46"/>
      <c r="C23" s="42"/>
      <c r="D23" s="42"/>
      <c r="E23" s="55"/>
      <c r="F23" s="55"/>
      <c r="G23" s="55"/>
      <c r="H23" s="55"/>
      <c r="I23" s="55"/>
      <c r="J23" s="55"/>
      <c r="K23" s="48"/>
      <c r="L23" s="42"/>
    </row>
    <row r="24" spans="1:12" x14ac:dyDescent="0.25">
      <c r="A24" s="42"/>
      <c r="B24" s="46"/>
      <c r="C24" s="49" t="s">
        <v>16</v>
      </c>
      <c r="D24" s="42"/>
      <c r="E24" s="55"/>
      <c r="F24" s="55"/>
      <c r="G24" s="55"/>
      <c r="H24" s="55"/>
      <c r="I24" s="55"/>
      <c r="J24" s="55"/>
      <c r="K24" s="48"/>
      <c r="L24" s="42"/>
    </row>
    <row r="25" spans="1:12" x14ac:dyDescent="0.25">
      <c r="A25" s="42"/>
      <c r="B25" s="46"/>
      <c r="C25" s="65" t="s">
        <v>118</v>
      </c>
      <c r="D25" s="42"/>
      <c r="E25" s="55"/>
      <c r="F25" s="55"/>
      <c r="G25" s="55"/>
      <c r="H25" s="55"/>
      <c r="I25" s="55"/>
      <c r="J25" s="55"/>
      <c r="K25" s="48"/>
      <c r="L25" s="42"/>
    </row>
    <row r="26" spans="1:12" x14ac:dyDescent="0.25">
      <c r="A26" s="42"/>
      <c r="B26" s="46"/>
      <c r="C26" s="42" t="s">
        <v>47</v>
      </c>
      <c r="D26" s="42"/>
      <c r="E26" s="55">
        <v>80</v>
      </c>
      <c r="F26" s="55">
        <v>649</v>
      </c>
      <c r="G26" s="55">
        <v>697</v>
      </c>
      <c r="H26" s="55">
        <v>649</v>
      </c>
      <c r="I26" s="55">
        <v>649</v>
      </c>
      <c r="J26" s="55">
        <f t="shared" ref="J26:J31" si="2">SUM(E26:I26)</f>
        <v>2724</v>
      </c>
      <c r="K26" s="48"/>
      <c r="L26" s="42"/>
    </row>
    <row r="27" spans="1:12" x14ac:dyDescent="0.25">
      <c r="A27" s="42"/>
      <c r="B27" s="46"/>
      <c r="C27" s="42" t="s">
        <v>48</v>
      </c>
      <c r="D27" s="42"/>
      <c r="E27" s="55"/>
      <c r="F27" s="55"/>
      <c r="G27" s="55">
        <v>338.47</v>
      </c>
      <c r="H27" s="55">
        <v>4823</v>
      </c>
      <c r="I27" s="55"/>
      <c r="J27" s="55">
        <f t="shared" si="2"/>
        <v>5161.47</v>
      </c>
      <c r="K27" s="48"/>
      <c r="L27" s="42"/>
    </row>
    <row r="28" spans="1:12" x14ac:dyDescent="0.25">
      <c r="A28" s="42"/>
      <c r="B28" s="46"/>
      <c r="C28" s="42" t="s">
        <v>49</v>
      </c>
      <c r="D28" s="42"/>
      <c r="E28" s="55"/>
      <c r="F28" s="55">
        <v>500</v>
      </c>
      <c r="G28" s="55">
        <v>367</v>
      </c>
      <c r="H28" s="55">
        <v>367</v>
      </c>
      <c r="I28" s="55">
        <v>367</v>
      </c>
      <c r="J28" s="55">
        <f t="shared" si="2"/>
        <v>1601</v>
      </c>
      <c r="K28" s="48"/>
      <c r="L28" s="42"/>
    </row>
    <row r="29" spans="1:12" x14ac:dyDescent="0.25">
      <c r="A29" s="42"/>
      <c r="B29" s="46"/>
      <c r="C29" s="42" t="s">
        <v>50</v>
      </c>
      <c r="D29" s="42"/>
      <c r="E29" s="55"/>
      <c r="F29" s="55">
        <v>500</v>
      </c>
      <c r="G29" s="55"/>
      <c r="H29" s="55">
        <v>1975</v>
      </c>
      <c r="I29" s="55"/>
      <c r="J29" s="55">
        <f t="shared" si="2"/>
        <v>2475</v>
      </c>
      <c r="K29" s="48"/>
      <c r="L29" s="42"/>
    </row>
    <row r="30" spans="1:12" x14ac:dyDescent="0.25">
      <c r="A30" s="42"/>
      <c r="B30" s="46"/>
      <c r="C30" s="42" t="s">
        <v>51</v>
      </c>
      <c r="D30" s="42"/>
      <c r="E30" s="55"/>
      <c r="F30" s="55">
        <v>312</v>
      </c>
      <c r="G30" s="55"/>
      <c r="H30" s="55">
        <v>290</v>
      </c>
      <c r="I30" s="55"/>
      <c r="J30" s="55">
        <f t="shared" si="2"/>
        <v>602</v>
      </c>
      <c r="K30" s="48"/>
      <c r="L30" s="42"/>
    </row>
    <row r="31" spans="1:12" x14ac:dyDescent="0.25">
      <c r="A31" s="42"/>
      <c r="B31" s="46"/>
      <c r="C31" s="42" t="s">
        <v>52</v>
      </c>
      <c r="D31" s="42"/>
      <c r="E31" s="55"/>
      <c r="F31" s="55">
        <v>350</v>
      </c>
      <c r="G31" s="55"/>
      <c r="H31" s="55"/>
      <c r="I31" s="55"/>
      <c r="J31" s="55">
        <f t="shared" si="2"/>
        <v>350</v>
      </c>
      <c r="K31" s="48"/>
      <c r="L31" s="42"/>
    </row>
    <row r="32" spans="1:12" x14ac:dyDescent="0.25">
      <c r="A32" s="42"/>
      <c r="B32" s="46"/>
      <c r="C32" s="65" t="s">
        <v>53</v>
      </c>
      <c r="D32" s="42"/>
      <c r="E32" s="55"/>
      <c r="F32" s="55"/>
      <c r="G32" s="55"/>
      <c r="H32" s="55"/>
      <c r="I32" s="55"/>
      <c r="J32" s="55"/>
      <c r="K32" s="48"/>
      <c r="L32" s="42"/>
    </row>
    <row r="33" spans="1:12" x14ac:dyDescent="0.25">
      <c r="A33" s="42"/>
      <c r="B33" s="46"/>
      <c r="C33" s="42" t="s">
        <v>54</v>
      </c>
      <c r="D33" s="42"/>
      <c r="E33" s="55"/>
      <c r="F33" s="55">
        <v>1375.2</v>
      </c>
      <c r="G33" s="55">
        <v>495</v>
      </c>
      <c r="H33" s="55">
        <v>1990</v>
      </c>
      <c r="I33" s="55">
        <v>262.5</v>
      </c>
      <c r="J33" s="55">
        <f>SUM(E33:I33)</f>
        <v>4122.7</v>
      </c>
      <c r="K33" s="48"/>
      <c r="L33" s="42"/>
    </row>
    <row r="34" spans="1:12" x14ac:dyDescent="0.25">
      <c r="A34" s="42"/>
      <c r="B34" s="46"/>
      <c r="C34" s="42" t="s">
        <v>55</v>
      </c>
      <c r="D34" s="42"/>
      <c r="E34" s="55"/>
      <c r="F34" s="55">
        <v>263</v>
      </c>
      <c r="G34" s="55">
        <v>112</v>
      </c>
      <c r="H34" s="55">
        <v>40</v>
      </c>
      <c r="I34" s="55">
        <v>50</v>
      </c>
      <c r="J34" s="55">
        <f>SUM(E34:I34)</f>
        <v>465</v>
      </c>
      <c r="K34" s="48"/>
      <c r="L34" s="42"/>
    </row>
    <row r="35" spans="1:12" x14ac:dyDescent="0.25">
      <c r="A35" s="42"/>
      <c r="B35" s="46"/>
      <c r="C35" s="42" t="s">
        <v>56</v>
      </c>
      <c r="D35" s="42"/>
      <c r="E35" s="55"/>
      <c r="F35" s="55"/>
      <c r="G35" s="55"/>
      <c r="H35" s="55"/>
      <c r="I35" s="55"/>
      <c r="J35" s="55">
        <f>SUM(E35:I35)</f>
        <v>0</v>
      </c>
      <c r="K35" s="48"/>
      <c r="L35" s="42"/>
    </row>
    <row r="36" spans="1:12" x14ac:dyDescent="0.25">
      <c r="A36" s="42"/>
      <c r="B36" s="46"/>
      <c r="C36" s="42" t="s">
        <v>57</v>
      </c>
      <c r="D36" s="42"/>
      <c r="E36" s="55"/>
      <c r="F36" s="55"/>
      <c r="G36" s="55">
        <v>45</v>
      </c>
      <c r="H36" s="55">
        <v>637</v>
      </c>
      <c r="I36" s="55"/>
      <c r="J36" s="55">
        <f>SUM(E36:I36)</f>
        <v>682</v>
      </c>
      <c r="K36" s="48"/>
      <c r="L36" s="42"/>
    </row>
    <row r="37" spans="1:12" x14ac:dyDescent="0.25">
      <c r="A37" s="42"/>
      <c r="B37" s="46"/>
      <c r="C37" s="65" t="s">
        <v>58</v>
      </c>
      <c r="D37" s="42"/>
      <c r="E37" s="55"/>
      <c r="F37" s="55"/>
      <c r="G37" s="55"/>
      <c r="H37" s="55"/>
      <c r="I37" s="55"/>
      <c r="J37" s="55"/>
      <c r="K37" s="48"/>
      <c r="L37" s="42"/>
    </row>
    <row r="38" spans="1:12" x14ac:dyDescent="0.25">
      <c r="A38" s="42"/>
      <c r="B38" s="46"/>
      <c r="C38" s="42" t="s">
        <v>43</v>
      </c>
      <c r="D38" s="42"/>
      <c r="E38" s="55">
        <v>79</v>
      </c>
      <c r="F38" s="55"/>
      <c r="G38" s="55">
        <v>73</v>
      </c>
      <c r="H38" s="55">
        <v>88</v>
      </c>
      <c r="I38" s="55">
        <v>29</v>
      </c>
      <c r="J38" s="55">
        <f>SUM(E38:I38)</f>
        <v>269</v>
      </c>
      <c r="K38" s="48"/>
      <c r="L38" s="42"/>
    </row>
    <row r="39" spans="1:12" x14ac:dyDescent="0.25">
      <c r="A39" s="42"/>
      <c r="B39" s="46"/>
      <c r="C39" s="42" t="s">
        <v>30</v>
      </c>
      <c r="D39" s="42"/>
      <c r="E39" s="55"/>
      <c r="F39" s="55">
        <v>39</v>
      </c>
      <c r="G39" s="55">
        <v>8</v>
      </c>
      <c r="H39" s="55">
        <v>76</v>
      </c>
      <c r="I39" s="55">
        <v>48</v>
      </c>
      <c r="J39" s="55">
        <f>SUM(E39:I39)</f>
        <v>171</v>
      </c>
      <c r="K39" s="48"/>
      <c r="L39" s="42"/>
    </row>
    <row r="40" spans="1:12" x14ac:dyDescent="0.25">
      <c r="A40" s="42"/>
      <c r="B40" s="46"/>
      <c r="C40" s="42" t="s">
        <v>119</v>
      </c>
      <c r="D40" s="42"/>
      <c r="E40" s="55">
        <v>17</v>
      </c>
      <c r="F40" s="55">
        <v>360</v>
      </c>
      <c r="G40" s="55">
        <v>290</v>
      </c>
      <c r="H40" s="55">
        <v>560</v>
      </c>
      <c r="I40" s="55">
        <v>304</v>
      </c>
      <c r="J40" s="55">
        <f>SUM(E40:I40)</f>
        <v>1531</v>
      </c>
      <c r="K40" s="48"/>
      <c r="L40" s="42"/>
    </row>
    <row r="41" spans="1:12" x14ac:dyDescent="0.25">
      <c r="A41" s="42"/>
      <c r="B41" s="46"/>
      <c r="C41" s="42" t="s">
        <v>60</v>
      </c>
      <c r="D41" s="42"/>
      <c r="E41" s="55"/>
      <c r="F41" s="55">
        <v>200</v>
      </c>
      <c r="G41" s="55">
        <v>150</v>
      </c>
      <c r="H41" s="55">
        <v>205</v>
      </c>
      <c r="I41" s="55">
        <v>135</v>
      </c>
      <c r="J41" s="55">
        <f>SUM(E41:I41)</f>
        <v>690</v>
      </c>
      <c r="K41" s="48"/>
      <c r="L41" s="42"/>
    </row>
    <row r="42" spans="1:12" x14ac:dyDescent="0.25">
      <c r="A42" s="42"/>
      <c r="B42" s="46"/>
      <c r="C42" s="65" t="s">
        <v>120</v>
      </c>
      <c r="D42" s="42"/>
      <c r="E42" s="55"/>
      <c r="F42" s="55"/>
      <c r="G42" s="55"/>
      <c r="H42" s="55"/>
      <c r="I42" s="55"/>
      <c r="J42" s="55"/>
      <c r="K42" s="48"/>
      <c r="L42" s="42"/>
    </row>
    <row r="43" spans="1:12" x14ac:dyDescent="0.25">
      <c r="A43" s="42"/>
      <c r="B43" s="46"/>
      <c r="C43" s="42" t="s">
        <v>45</v>
      </c>
      <c r="D43" s="42"/>
      <c r="E43" s="55"/>
      <c r="F43" s="55"/>
      <c r="G43" s="55">
        <v>222</v>
      </c>
      <c r="H43" s="55"/>
      <c r="I43" s="55"/>
      <c r="J43" s="55">
        <f>SUM(E43:I43)</f>
        <v>222</v>
      </c>
      <c r="K43" s="48"/>
      <c r="L43" s="42"/>
    </row>
    <row r="44" spans="1:12" x14ac:dyDescent="0.25">
      <c r="A44" s="42"/>
      <c r="B44" s="46"/>
      <c r="C44" s="42" t="s">
        <v>64</v>
      </c>
      <c r="D44" s="42"/>
      <c r="E44" s="55"/>
      <c r="F44" s="55"/>
      <c r="G44" s="55"/>
      <c r="H44" s="55"/>
      <c r="I44" s="55"/>
      <c r="J44" s="55">
        <f>SUM(E44:I44)</f>
        <v>0</v>
      </c>
      <c r="K44" s="48"/>
      <c r="L44" s="42"/>
    </row>
    <row r="45" spans="1:12" x14ac:dyDescent="0.25">
      <c r="A45" s="42"/>
      <c r="B45" s="46"/>
      <c r="C45" s="42" t="s">
        <v>65</v>
      </c>
      <c r="D45" s="42"/>
      <c r="E45" s="55"/>
      <c r="F45" s="55">
        <v>190</v>
      </c>
      <c r="G45" s="55">
        <v>107</v>
      </c>
      <c r="H45" s="55">
        <v>161</v>
      </c>
      <c r="I45" s="55">
        <v>54</v>
      </c>
      <c r="J45" s="55">
        <f>SUM(E45:I45)</f>
        <v>512</v>
      </c>
      <c r="K45" s="48"/>
      <c r="L45" s="42"/>
    </row>
    <row r="46" spans="1:12" x14ac:dyDescent="0.25">
      <c r="A46" s="42"/>
      <c r="B46" s="46"/>
      <c r="C46" s="42" t="s">
        <v>144</v>
      </c>
      <c r="D46" s="42"/>
      <c r="E46" s="55"/>
      <c r="F46" s="55">
        <v>-4</v>
      </c>
      <c r="G46" s="55">
        <v>-56</v>
      </c>
      <c r="H46" s="55">
        <v>169</v>
      </c>
      <c r="I46" s="55"/>
      <c r="J46" s="55">
        <f>SUM(E46:I46)</f>
        <v>109</v>
      </c>
      <c r="K46" s="48"/>
      <c r="L46" s="42"/>
    </row>
    <row r="47" spans="1:12" ht="15.75" x14ac:dyDescent="0.25">
      <c r="A47" s="42"/>
      <c r="B47" s="46"/>
      <c r="C47" s="53" t="s">
        <v>16</v>
      </c>
      <c r="D47" s="42"/>
      <c r="E47" s="56">
        <f t="shared" ref="E47:J47" si="3">SUM(E26:E46)</f>
        <v>176</v>
      </c>
      <c r="F47" s="56">
        <f t="shared" si="3"/>
        <v>4734.2</v>
      </c>
      <c r="G47" s="56">
        <f t="shared" si="3"/>
        <v>2848.4700000000003</v>
      </c>
      <c r="H47" s="56">
        <f t="shared" si="3"/>
        <v>12030</v>
      </c>
      <c r="I47" s="56">
        <f t="shared" si="3"/>
        <v>1898.5</v>
      </c>
      <c r="J47" s="56">
        <f t="shared" si="3"/>
        <v>21687.170000000002</v>
      </c>
      <c r="K47" s="48"/>
      <c r="L47" s="42"/>
    </row>
    <row r="48" spans="1:12" ht="5.0999999999999996" customHeight="1" x14ac:dyDescent="0.25">
      <c r="A48" s="42"/>
      <c r="B48" s="46"/>
      <c r="C48" s="42"/>
      <c r="D48" s="42"/>
      <c r="E48" s="55"/>
      <c r="F48" s="55"/>
      <c r="G48" s="55"/>
      <c r="H48" s="55"/>
      <c r="I48" s="55"/>
      <c r="J48" s="55"/>
      <c r="K48" s="48"/>
      <c r="L48" s="42"/>
    </row>
    <row r="49" spans="1:12" ht="15.75" x14ac:dyDescent="0.25">
      <c r="A49" s="42"/>
      <c r="B49" s="46"/>
      <c r="C49" s="53" t="s">
        <v>121</v>
      </c>
      <c r="D49" s="42"/>
      <c r="E49" s="56">
        <f t="shared" ref="E49:J49" si="4">E21-E47</f>
        <v>-1</v>
      </c>
      <c r="F49" s="56">
        <f t="shared" si="4"/>
        <v>-1434.1999999999998</v>
      </c>
      <c r="G49" s="56">
        <f t="shared" si="4"/>
        <v>389.52999999999975</v>
      </c>
      <c r="H49" s="56">
        <f t="shared" si="4"/>
        <v>-4379</v>
      </c>
      <c r="I49" s="56">
        <f t="shared" si="4"/>
        <v>-224.93000000000006</v>
      </c>
      <c r="J49" s="56">
        <f t="shared" si="4"/>
        <v>-5649.6000000000022</v>
      </c>
      <c r="K49" s="48"/>
      <c r="L49" s="42"/>
    </row>
    <row r="50" spans="1:12" ht="5.0999999999999996" customHeight="1" thickBot="1" x14ac:dyDescent="0.3">
      <c r="A50" s="42"/>
      <c r="B50" s="57"/>
      <c r="C50" s="58"/>
      <c r="D50" s="58"/>
      <c r="E50" s="58"/>
      <c r="F50" s="58"/>
      <c r="G50" s="58"/>
      <c r="H50" s="58"/>
      <c r="I50" s="58"/>
      <c r="J50" s="58"/>
      <c r="K50" s="59"/>
      <c r="L50" s="42"/>
    </row>
    <row r="51" spans="1:12" ht="5.0999999999999996" customHeight="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2"/>
  <sheetViews>
    <sheetView topLeftCell="A36" workbookViewId="0">
      <selection activeCell="L59" sqref="L59"/>
    </sheetView>
  </sheetViews>
  <sheetFormatPr defaultColWidth="8.7109375" defaultRowHeight="15" x14ac:dyDescent="0.25"/>
  <cols>
    <col min="1" max="2" width="1.5703125" customWidth="1"/>
    <col min="3" max="3" width="28.42578125" customWidth="1"/>
    <col min="4" max="4" width="1.5703125" customWidth="1"/>
    <col min="5" max="9" width="10.5703125" customWidth="1"/>
    <col min="10" max="11" width="1.5703125" customWidth="1"/>
    <col min="12" max="12" width="12" customWidth="1"/>
  </cols>
  <sheetData>
    <row r="1" spans="1:11" ht="5.0999999999999996" customHeight="1" thickBot="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5.0999999999999996" customHeight="1" x14ac:dyDescent="0.25">
      <c r="A2" s="42"/>
      <c r="B2" s="43"/>
      <c r="C2" s="44"/>
      <c r="D2" s="44"/>
      <c r="E2" s="44"/>
      <c r="F2" s="44"/>
      <c r="G2" s="44"/>
      <c r="H2" s="44"/>
      <c r="I2" s="44"/>
      <c r="J2" s="45"/>
      <c r="K2" s="42"/>
    </row>
    <row r="3" spans="1:11" ht="18.75" x14ac:dyDescent="0.3">
      <c r="A3" s="42"/>
      <c r="B3" s="46"/>
      <c r="C3" s="47" t="s">
        <v>0</v>
      </c>
      <c r="D3" s="42"/>
      <c r="E3" s="42"/>
      <c r="F3" s="42"/>
      <c r="G3" s="42"/>
      <c r="H3" s="42"/>
      <c r="I3" s="42"/>
      <c r="J3" s="48"/>
      <c r="K3" s="42"/>
    </row>
    <row r="4" spans="1:11" ht="18.75" x14ac:dyDescent="0.3">
      <c r="A4" s="42"/>
      <c r="B4" s="46"/>
      <c r="C4" s="47" t="s">
        <v>83</v>
      </c>
      <c r="D4" s="42"/>
      <c r="E4" s="42"/>
      <c r="F4" s="42"/>
      <c r="G4" s="42"/>
      <c r="H4" s="42"/>
      <c r="I4" s="42"/>
      <c r="J4" s="48"/>
      <c r="K4" s="42"/>
    </row>
    <row r="5" spans="1:11" ht="18.75" x14ac:dyDescent="0.3">
      <c r="A5" s="42"/>
      <c r="B5" s="46"/>
      <c r="C5" s="47" t="s">
        <v>4</v>
      </c>
      <c r="D5" s="42"/>
      <c r="E5" s="42"/>
      <c r="F5" s="42"/>
      <c r="G5" s="42"/>
      <c r="H5" s="42"/>
      <c r="I5" s="42"/>
      <c r="J5" s="48"/>
      <c r="K5" s="42"/>
    </row>
    <row r="6" spans="1:11" ht="5.0999999999999996" customHeight="1" x14ac:dyDescent="0.25">
      <c r="A6" s="42"/>
      <c r="B6" s="46"/>
      <c r="C6" s="42"/>
      <c r="D6" s="42"/>
      <c r="E6" s="42"/>
      <c r="F6" s="42"/>
      <c r="G6" s="42"/>
      <c r="H6" s="42"/>
      <c r="I6" s="42"/>
      <c r="J6" s="48"/>
      <c r="K6" s="42"/>
    </row>
    <row r="7" spans="1:11" s="7" customFormat="1" ht="14.45" customHeight="1" x14ac:dyDescent="0.3">
      <c r="A7" s="49"/>
      <c r="B7" s="50"/>
      <c r="C7" s="47"/>
      <c r="D7" s="49"/>
      <c r="E7" s="51" t="s">
        <v>68</v>
      </c>
      <c r="F7" s="51" t="s">
        <v>130</v>
      </c>
      <c r="G7" s="51" t="s">
        <v>69</v>
      </c>
      <c r="H7" s="51" t="s">
        <v>70</v>
      </c>
      <c r="I7" s="51" t="s">
        <v>100</v>
      </c>
      <c r="J7" s="52"/>
      <c r="K7" s="49"/>
    </row>
    <row r="8" spans="1:11" s="7" customFormat="1" ht="14.45" customHeight="1" x14ac:dyDescent="0.3">
      <c r="A8" s="49"/>
      <c r="B8" s="50"/>
      <c r="C8" s="47"/>
      <c r="D8" s="49"/>
      <c r="E8" s="51" t="s">
        <v>79</v>
      </c>
      <c r="F8" s="51" t="s">
        <v>137</v>
      </c>
      <c r="G8" s="51" t="s">
        <v>138</v>
      </c>
      <c r="H8" s="51" t="s">
        <v>81</v>
      </c>
      <c r="I8" s="51"/>
      <c r="J8" s="52"/>
      <c r="K8" s="49"/>
    </row>
    <row r="9" spans="1:11" ht="5.0999999999999996" customHeight="1" x14ac:dyDescent="0.25">
      <c r="A9" s="42"/>
      <c r="B9" s="46"/>
      <c r="C9" s="42"/>
      <c r="D9" s="42"/>
      <c r="E9" s="42"/>
      <c r="F9" s="42"/>
      <c r="G9" s="42"/>
      <c r="H9" s="42"/>
      <c r="I9" s="42"/>
      <c r="J9" s="48"/>
      <c r="K9" s="42"/>
    </row>
    <row r="10" spans="1:11" ht="15.75" x14ac:dyDescent="0.25">
      <c r="A10" s="42"/>
      <c r="B10" s="46"/>
      <c r="C10" s="53" t="s">
        <v>42</v>
      </c>
      <c r="D10" s="42"/>
      <c r="E10" s="54"/>
      <c r="F10" s="54"/>
      <c r="G10" s="42"/>
      <c r="H10" s="42"/>
      <c r="I10" s="42"/>
      <c r="J10" s="48"/>
      <c r="K10" s="42"/>
    </row>
    <row r="11" spans="1:11" x14ac:dyDescent="0.25">
      <c r="A11" s="42"/>
      <c r="B11" s="46"/>
      <c r="C11" s="42" t="s">
        <v>99</v>
      </c>
      <c r="D11" s="42"/>
      <c r="E11" s="55">
        <f>4154-1596-336+446</f>
        <v>2668</v>
      </c>
      <c r="F11" s="55">
        <f>40*13</f>
        <v>520</v>
      </c>
      <c r="G11" s="55"/>
      <c r="H11" s="55"/>
      <c r="I11" s="55">
        <f>SUM(E11:H11)</f>
        <v>3188</v>
      </c>
      <c r="J11" s="48"/>
      <c r="K11" s="42"/>
    </row>
    <row r="12" spans="1:11" x14ac:dyDescent="0.25">
      <c r="A12" s="42"/>
      <c r="B12" s="46"/>
      <c r="C12" s="42" t="s">
        <v>115</v>
      </c>
      <c r="D12" s="42"/>
      <c r="E12" s="55">
        <v>1596</v>
      </c>
      <c r="F12" s="55">
        <f>171*11</f>
        <v>1881</v>
      </c>
      <c r="G12" s="55">
        <f>100*10</f>
        <v>1000</v>
      </c>
      <c r="H12" s="55">
        <f>360*14</f>
        <v>5040</v>
      </c>
      <c r="I12" s="55">
        <f t="shared" ref="I12:I22" si="0">SUM(E12:H12)</f>
        <v>9517</v>
      </c>
      <c r="J12" s="48"/>
      <c r="K12" s="42"/>
    </row>
    <row r="13" spans="1:11" x14ac:dyDescent="0.25">
      <c r="A13" s="42"/>
      <c r="B13" s="46"/>
      <c r="C13" s="42" t="s">
        <v>116</v>
      </c>
      <c r="D13" s="42"/>
      <c r="F13" s="55">
        <f>80*7</f>
        <v>560</v>
      </c>
      <c r="G13" s="42"/>
      <c r="H13" s="42"/>
      <c r="I13" s="55">
        <f t="shared" si="0"/>
        <v>560</v>
      </c>
      <c r="J13" s="48"/>
      <c r="K13" s="42"/>
    </row>
    <row r="14" spans="1:11" x14ac:dyDescent="0.25">
      <c r="A14" s="42"/>
      <c r="B14" s="46"/>
      <c r="C14" s="42" t="s">
        <v>117</v>
      </c>
      <c r="D14" s="42"/>
      <c r="E14" s="55"/>
      <c r="F14" s="55">
        <f>30*2</f>
        <v>60</v>
      </c>
      <c r="G14" s="55"/>
      <c r="H14" s="55"/>
      <c r="I14" s="55">
        <f t="shared" si="0"/>
        <v>60</v>
      </c>
      <c r="J14" s="48"/>
      <c r="K14" s="42"/>
    </row>
    <row r="15" spans="1:11" x14ac:dyDescent="0.25">
      <c r="A15" s="42"/>
      <c r="B15" s="46"/>
      <c r="C15" s="42" t="s">
        <v>40</v>
      </c>
      <c r="D15" s="42"/>
      <c r="E15" s="55">
        <v>336</v>
      </c>
      <c r="F15" s="55">
        <f>30*4</f>
        <v>120</v>
      </c>
      <c r="G15" s="55">
        <f>25*7</f>
        <v>175</v>
      </c>
      <c r="H15" s="55">
        <f>25*7</f>
        <v>175</v>
      </c>
      <c r="I15" s="55">
        <f>SUM(E15:H15)</f>
        <v>806</v>
      </c>
      <c r="J15" s="48"/>
      <c r="K15" s="42"/>
    </row>
    <row r="16" spans="1:11" x14ac:dyDescent="0.25">
      <c r="A16" s="42"/>
      <c r="B16" s="46"/>
      <c r="C16" s="42" t="s">
        <v>139</v>
      </c>
      <c r="D16" s="42"/>
      <c r="E16" s="55">
        <v>-446</v>
      </c>
      <c r="F16" s="55"/>
      <c r="G16" s="55"/>
      <c r="H16" s="55"/>
      <c r="I16" s="55">
        <f t="shared" si="0"/>
        <v>-446</v>
      </c>
      <c r="J16" s="48"/>
      <c r="K16" s="42"/>
    </row>
    <row r="17" spans="1:11" x14ac:dyDescent="0.25">
      <c r="A17" s="42"/>
      <c r="B17" s="46"/>
      <c r="C17" s="42" t="s">
        <v>100</v>
      </c>
      <c r="D17" s="42"/>
      <c r="E17" s="55">
        <f>SUM(E11:E16)</f>
        <v>4154</v>
      </c>
      <c r="F17" s="55">
        <f>SUM(F11:F16)</f>
        <v>3141</v>
      </c>
      <c r="G17" s="55">
        <f>SUM(G11:G16)</f>
        <v>1175</v>
      </c>
      <c r="H17" s="55">
        <f>SUM(H11:H16)</f>
        <v>5215</v>
      </c>
      <c r="I17" s="55">
        <f t="shared" si="0"/>
        <v>13685</v>
      </c>
      <c r="J17" s="48"/>
      <c r="K17" s="42"/>
    </row>
    <row r="18" spans="1:11" x14ac:dyDescent="0.25">
      <c r="A18" s="42"/>
      <c r="B18" s="46"/>
      <c r="C18" s="42" t="s">
        <v>44</v>
      </c>
      <c r="D18" s="42"/>
      <c r="E18" s="55">
        <v>203</v>
      </c>
      <c r="F18" s="55">
        <v>118</v>
      </c>
      <c r="G18" s="55">
        <f>125*0.3*2</f>
        <v>75</v>
      </c>
      <c r="H18" s="55">
        <v>225</v>
      </c>
      <c r="I18" s="55">
        <f t="shared" si="0"/>
        <v>621</v>
      </c>
      <c r="J18" s="48"/>
      <c r="K18" s="42"/>
    </row>
    <row r="19" spans="1:11" x14ac:dyDescent="0.25">
      <c r="A19" s="42"/>
      <c r="B19" s="46"/>
      <c r="C19" s="42" t="s">
        <v>45</v>
      </c>
      <c r="D19" s="42"/>
      <c r="E19" s="55"/>
      <c r="F19" s="55"/>
      <c r="G19" s="55"/>
      <c r="H19" s="55"/>
      <c r="I19" s="55">
        <f t="shared" si="0"/>
        <v>0</v>
      </c>
      <c r="J19" s="48"/>
      <c r="K19" s="42"/>
    </row>
    <row r="20" spans="1:11" x14ac:dyDescent="0.25">
      <c r="A20" s="42"/>
      <c r="B20" s="46"/>
      <c r="C20" s="42" t="s">
        <v>102</v>
      </c>
      <c r="D20" s="42"/>
      <c r="E20" s="55"/>
      <c r="F20" s="55"/>
      <c r="G20" s="55"/>
      <c r="H20" s="55"/>
      <c r="I20" s="55">
        <f t="shared" si="0"/>
        <v>0</v>
      </c>
      <c r="J20" s="48"/>
      <c r="K20" s="42"/>
    </row>
    <row r="21" spans="1:11" s="7" customFormat="1" x14ac:dyDescent="0.25">
      <c r="A21" s="49"/>
      <c r="B21" s="50"/>
      <c r="C21" s="49" t="s">
        <v>82</v>
      </c>
      <c r="D21" s="49"/>
      <c r="E21" s="56">
        <f>SUM(E17:E20)</f>
        <v>4357</v>
      </c>
      <c r="F21" s="56">
        <f>SUM(F17:F20)</f>
        <v>3259</v>
      </c>
      <c r="G21" s="56">
        <f>SUM(G17:G20)</f>
        <v>1250</v>
      </c>
      <c r="H21" s="56">
        <f>SUM(H17:H20)</f>
        <v>5440</v>
      </c>
      <c r="I21" s="56">
        <f>SUM(I17:I20)</f>
        <v>14306</v>
      </c>
      <c r="J21" s="52"/>
      <c r="K21" s="49"/>
    </row>
    <row r="22" spans="1:11" s="37" customFormat="1" x14ac:dyDescent="0.25">
      <c r="A22" s="66"/>
      <c r="B22" s="67"/>
      <c r="C22" s="66" t="s">
        <v>101</v>
      </c>
      <c r="D22" s="66"/>
      <c r="E22" s="68">
        <v>348</v>
      </c>
      <c r="F22" s="68">
        <v>350</v>
      </c>
      <c r="G22" s="68">
        <v>125</v>
      </c>
      <c r="H22" s="68">
        <v>375</v>
      </c>
      <c r="I22" s="55">
        <f t="shared" si="0"/>
        <v>1198</v>
      </c>
      <c r="J22" s="69"/>
      <c r="K22" s="66"/>
    </row>
    <row r="23" spans="1:11" ht="5.0999999999999996" customHeight="1" x14ac:dyDescent="0.25">
      <c r="A23" s="42"/>
      <c r="B23" s="46"/>
      <c r="C23" s="42"/>
      <c r="D23" s="42"/>
      <c r="E23" s="55"/>
      <c r="F23" s="55"/>
      <c r="G23" s="55"/>
      <c r="H23" s="55"/>
      <c r="I23" s="55"/>
      <c r="J23" s="48"/>
      <c r="K23" s="42"/>
    </row>
    <row r="24" spans="1:11" x14ac:dyDescent="0.25">
      <c r="A24" s="42"/>
      <c r="B24" s="46"/>
      <c r="C24" s="49" t="s">
        <v>16</v>
      </c>
      <c r="D24" s="42"/>
      <c r="E24" s="55"/>
      <c r="F24" s="55"/>
      <c r="G24" s="55"/>
      <c r="H24" s="55"/>
      <c r="I24" s="55"/>
      <c r="J24" s="48"/>
      <c r="K24" s="42"/>
    </row>
    <row r="25" spans="1:11" x14ac:dyDescent="0.25">
      <c r="A25" s="42"/>
      <c r="B25" s="46"/>
      <c r="C25" s="65" t="s">
        <v>118</v>
      </c>
      <c r="D25" s="42"/>
      <c r="E25" s="55"/>
      <c r="F25" s="55"/>
      <c r="G25" s="55"/>
      <c r="H25" s="55"/>
      <c r="I25" s="55"/>
      <c r="J25" s="48"/>
      <c r="K25" s="42"/>
    </row>
    <row r="26" spans="1:11" x14ac:dyDescent="0.25">
      <c r="A26" s="42"/>
      <c r="B26" s="46"/>
      <c r="C26" s="42" t="s">
        <v>47</v>
      </c>
      <c r="D26" s="42"/>
      <c r="E26" s="55">
        <v>662</v>
      </c>
      <c r="F26" s="55">
        <v>662</v>
      </c>
      <c r="G26" s="55">
        <v>662</v>
      </c>
      <c r="H26" s="55">
        <v>662</v>
      </c>
      <c r="I26" s="55">
        <f t="shared" ref="I26:I31" si="1">SUM(E26:H26)</f>
        <v>2648</v>
      </c>
      <c r="J26" s="48"/>
      <c r="K26" s="42"/>
    </row>
    <row r="27" spans="1:11" x14ac:dyDescent="0.25">
      <c r="A27" s="42"/>
      <c r="B27" s="46"/>
      <c r="C27" s="42" t="s">
        <v>48</v>
      </c>
      <c r="D27" s="42"/>
      <c r="E27" s="55">
        <v>2000</v>
      </c>
      <c r="F27" s="55">
        <v>340</v>
      </c>
      <c r="G27" s="55"/>
      <c r="H27" s="55"/>
      <c r="I27" s="55">
        <f t="shared" si="1"/>
        <v>2340</v>
      </c>
      <c r="J27" s="48"/>
      <c r="K27" s="42"/>
    </row>
    <row r="28" spans="1:11" x14ac:dyDescent="0.25">
      <c r="A28" s="42"/>
      <c r="B28" s="46"/>
      <c r="C28" s="42" t="s">
        <v>49</v>
      </c>
      <c r="D28" s="42"/>
      <c r="E28" s="55"/>
      <c r="F28" s="55">
        <v>374</v>
      </c>
      <c r="G28" s="55">
        <f>374+175</f>
        <v>549</v>
      </c>
      <c r="H28" s="55"/>
      <c r="I28" s="55">
        <f t="shared" si="1"/>
        <v>923</v>
      </c>
      <c r="J28" s="48"/>
      <c r="K28" s="42"/>
    </row>
    <row r="29" spans="1:11" x14ac:dyDescent="0.25">
      <c r="A29" s="42"/>
      <c r="B29" s="46"/>
      <c r="C29" s="42" t="s">
        <v>50</v>
      </c>
      <c r="D29" s="42"/>
      <c r="E29" s="55">
        <v>750</v>
      </c>
      <c r="F29" s="55"/>
      <c r="G29" s="55"/>
      <c r="H29" s="55"/>
      <c r="I29" s="55">
        <f t="shared" si="1"/>
        <v>750</v>
      </c>
      <c r="J29" s="48"/>
      <c r="K29" s="42"/>
    </row>
    <row r="30" spans="1:11" x14ac:dyDescent="0.25">
      <c r="A30" s="42"/>
      <c r="B30" s="46"/>
      <c r="C30" s="42" t="s">
        <v>51</v>
      </c>
      <c r="D30" s="42"/>
      <c r="E30" s="55"/>
      <c r="F30" s="55"/>
      <c r="G30" s="55"/>
      <c r="H30" s="55"/>
      <c r="I30" s="55">
        <f t="shared" si="1"/>
        <v>0</v>
      </c>
      <c r="J30" s="48"/>
      <c r="K30" s="42"/>
    </row>
    <row r="31" spans="1:11" x14ac:dyDescent="0.25">
      <c r="A31" s="42"/>
      <c r="B31" s="46"/>
      <c r="C31" s="42" t="s">
        <v>52</v>
      </c>
      <c r="D31" s="42"/>
      <c r="E31" s="55"/>
      <c r="F31" s="55"/>
      <c r="G31" s="55"/>
      <c r="H31" s="55">
        <v>600</v>
      </c>
      <c r="I31" s="55">
        <f t="shared" si="1"/>
        <v>600</v>
      </c>
      <c r="J31" s="48"/>
      <c r="K31" s="42"/>
    </row>
    <row r="32" spans="1:11" x14ac:dyDescent="0.25">
      <c r="A32" s="42"/>
      <c r="B32" s="46"/>
      <c r="C32" s="65" t="s">
        <v>53</v>
      </c>
      <c r="D32" s="42"/>
      <c r="E32" s="55"/>
      <c r="F32" s="55"/>
      <c r="G32" s="55"/>
      <c r="H32" s="55"/>
      <c r="I32" s="55"/>
      <c r="J32" s="48"/>
      <c r="K32" s="42"/>
    </row>
    <row r="33" spans="1:11" x14ac:dyDescent="0.25">
      <c r="A33" s="42"/>
      <c r="B33" s="46"/>
      <c r="C33" s="42" t="s">
        <v>54</v>
      </c>
      <c r="D33" s="42"/>
      <c r="E33" s="55">
        <v>1406</v>
      </c>
      <c r="F33" s="55">
        <v>495</v>
      </c>
      <c r="G33" s="55">
        <v>455</v>
      </c>
      <c r="H33" s="55">
        <v>2000</v>
      </c>
      <c r="I33" s="55">
        <f>SUM(E33:H33)</f>
        <v>4356</v>
      </c>
      <c r="J33" s="48"/>
      <c r="K33" s="42"/>
    </row>
    <row r="34" spans="1:11" x14ac:dyDescent="0.25">
      <c r="A34" s="42"/>
      <c r="B34" s="46"/>
      <c r="C34" s="42" t="s">
        <v>55</v>
      </c>
      <c r="D34" s="42"/>
      <c r="E34" s="55">
        <v>207</v>
      </c>
      <c r="F34" s="55">
        <v>140</v>
      </c>
      <c r="G34" s="55">
        <v>285</v>
      </c>
      <c r="H34" s="55">
        <v>800</v>
      </c>
      <c r="I34" s="55">
        <f>SUM(E34:H34)</f>
        <v>1432</v>
      </c>
      <c r="J34" s="48"/>
      <c r="K34" s="42"/>
    </row>
    <row r="35" spans="1:11" x14ac:dyDescent="0.25">
      <c r="A35" s="42"/>
      <c r="B35" s="46"/>
      <c r="C35" s="42" t="s">
        <v>56</v>
      </c>
      <c r="D35" s="42"/>
      <c r="E35" s="55">
        <v>162</v>
      </c>
      <c r="F35" s="55">
        <v>0</v>
      </c>
      <c r="G35" s="55"/>
      <c r="H35" s="55"/>
      <c r="I35" s="55">
        <f>SUM(E35:H35)</f>
        <v>162</v>
      </c>
      <c r="J35" s="48"/>
      <c r="K35" s="42"/>
    </row>
    <row r="36" spans="1:11" x14ac:dyDescent="0.25">
      <c r="A36" s="42"/>
      <c r="B36" s="46"/>
      <c r="C36" s="42" t="s">
        <v>57</v>
      </c>
      <c r="D36" s="42"/>
      <c r="E36" s="55"/>
      <c r="F36" s="55">
        <v>47</v>
      </c>
      <c r="G36" s="55">
        <v>45</v>
      </c>
      <c r="H36" s="55">
        <v>1872</v>
      </c>
      <c r="I36" s="55">
        <f>SUM(E36:H36)</f>
        <v>1964</v>
      </c>
      <c r="J36" s="48"/>
      <c r="K36" s="42"/>
    </row>
    <row r="37" spans="1:11" x14ac:dyDescent="0.25">
      <c r="A37" s="42"/>
      <c r="B37" s="46"/>
      <c r="C37" s="65" t="s">
        <v>58</v>
      </c>
      <c r="D37" s="42"/>
      <c r="E37" s="55"/>
      <c r="F37" s="55"/>
      <c r="G37" s="55"/>
      <c r="H37" s="55"/>
      <c r="I37" s="55"/>
      <c r="J37" s="48"/>
      <c r="K37" s="42"/>
    </row>
    <row r="38" spans="1:11" x14ac:dyDescent="0.25">
      <c r="A38" s="42"/>
      <c r="B38" s="46"/>
      <c r="C38" s="42" t="s">
        <v>43</v>
      </c>
      <c r="D38" s="42"/>
      <c r="E38" s="55"/>
      <c r="F38" s="55">
        <v>65</v>
      </c>
      <c r="G38" s="55">
        <v>33</v>
      </c>
      <c r="H38" s="55">
        <v>30</v>
      </c>
      <c r="I38" s="55">
        <f>SUM(E38:H38)</f>
        <v>128</v>
      </c>
      <c r="J38" s="48"/>
      <c r="K38" s="42"/>
    </row>
    <row r="39" spans="1:11" x14ac:dyDescent="0.25">
      <c r="A39" s="42"/>
      <c r="B39" s="46"/>
      <c r="C39" s="42" t="s">
        <v>30</v>
      </c>
      <c r="D39" s="42"/>
      <c r="E39" s="55">
        <v>64</v>
      </c>
      <c r="F39" s="55">
        <v>39</v>
      </c>
      <c r="G39" s="55">
        <v>25</v>
      </c>
      <c r="H39" s="55">
        <v>75</v>
      </c>
      <c r="I39" s="55">
        <f>SUM(E39:H39)</f>
        <v>203</v>
      </c>
      <c r="J39" s="48"/>
      <c r="K39" s="42"/>
    </row>
    <row r="40" spans="1:11" x14ac:dyDescent="0.25">
      <c r="A40" s="42"/>
      <c r="B40" s="46"/>
      <c r="C40" s="42" t="s">
        <v>119</v>
      </c>
      <c r="D40" s="42"/>
      <c r="E40" s="55">
        <v>340</v>
      </c>
      <c r="F40" s="55">
        <v>270</v>
      </c>
      <c r="G40" s="55">
        <f>285+12</f>
        <v>297</v>
      </c>
      <c r="H40" s="55">
        <v>315</v>
      </c>
      <c r="I40" s="55">
        <f>SUM(E40:H40)</f>
        <v>1222</v>
      </c>
      <c r="J40" s="48"/>
      <c r="K40" s="42"/>
    </row>
    <row r="41" spans="1:11" x14ac:dyDescent="0.25">
      <c r="A41" s="42"/>
      <c r="B41" s="46"/>
      <c r="C41" s="42" t="s">
        <v>60</v>
      </c>
      <c r="D41" s="42"/>
      <c r="E41" s="55">
        <v>185</v>
      </c>
      <c r="F41" s="55">
        <v>135</v>
      </c>
      <c r="G41" s="55">
        <v>145</v>
      </c>
      <c r="H41" s="55">
        <v>160</v>
      </c>
      <c r="I41" s="55">
        <f>SUM(E41:H41)</f>
        <v>625</v>
      </c>
      <c r="J41" s="48"/>
      <c r="K41" s="42"/>
    </row>
    <row r="42" spans="1:11" x14ac:dyDescent="0.25">
      <c r="A42" s="42"/>
      <c r="B42" s="46"/>
      <c r="C42" s="65" t="s">
        <v>120</v>
      </c>
      <c r="D42" s="42"/>
      <c r="E42" s="55"/>
      <c r="F42" s="55"/>
      <c r="G42" s="55"/>
      <c r="H42" s="55"/>
      <c r="I42" s="55"/>
      <c r="J42" s="48"/>
      <c r="K42" s="42"/>
    </row>
    <row r="43" spans="1:11" x14ac:dyDescent="0.25">
      <c r="A43" s="42"/>
      <c r="B43" s="46"/>
      <c r="C43" s="42" t="s">
        <v>45</v>
      </c>
      <c r="D43" s="42"/>
      <c r="E43" s="55"/>
      <c r="F43" s="55">
        <v>196</v>
      </c>
      <c r="G43" s="55"/>
      <c r="H43" s="55"/>
      <c r="I43" s="55">
        <f>SUM(E43:H43)</f>
        <v>196</v>
      </c>
      <c r="J43" s="48"/>
      <c r="K43" s="42"/>
    </row>
    <row r="44" spans="1:11" x14ac:dyDescent="0.25">
      <c r="A44" s="42"/>
      <c r="B44" s="46"/>
      <c r="C44" s="42" t="s">
        <v>64</v>
      </c>
      <c r="D44" s="42"/>
      <c r="E44" s="55"/>
      <c r="F44" s="55"/>
      <c r="G44" s="55"/>
      <c r="H44" s="55">
        <v>25</v>
      </c>
      <c r="I44" s="55">
        <f>SUM(E44:H44)</f>
        <v>25</v>
      </c>
      <c r="J44" s="48"/>
      <c r="K44" s="42"/>
    </row>
    <row r="45" spans="1:11" x14ac:dyDescent="0.25">
      <c r="A45" s="42"/>
      <c r="B45" s="46"/>
      <c r="C45" s="42" t="s">
        <v>65</v>
      </c>
      <c r="D45" s="42"/>
      <c r="E45" s="55">
        <v>263</v>
      </c>
      <c r="F45" s="55">
        <v>104</v>
      </c>
      <c r="G45" s="55">
        <v>74</v>
      </c>
      <c r="H45" s="55">
        <v>146</v>
      </c>
      <c r="I45" s="55">
        <f>SUM(E45:H45)</f>
        <v>587</v>
      </c>
      <c r="J45" s="48"/>
      <c r="K45" s="42"/>
    </row>
    <row r="46" spans="1:11" x14ac:dyDescent="0.25">
      <c r="A46" s="42"/>
      <c r="B46" s="46"/>
      <c r="C46" s="42" t="s">
        <v>144</v>
      </c>
      <c r="D46" s="42"/>
      <c r="E46" s="55">
        <v>77</v>
      </c>
      <c r="F46" s="55">
        <v>-72</v>
      </c>
      <c r="G46" s="55">
        <v>105</v>
      </c>
      <c r="H46" s="55">
        <v>105</v>
      </c>
      <c r="I46" s="55">
        <f>SUM(E46:H46)</f>
        <v>215</v>
      </c>
      <c r="J46" s="48"/>
      <c r="K46" s="42"/>
    </row>
    <row r="47" spans="1:11" ht="15.75" x14ac:dyDescent="0.25">
      <c r="A47" s="42"/>
      <c r="B47" s="46"/>
      <c r="C47" s="53" t="s">
        <v>16</v>
      </c>
      <c r="D47" s="42"/>
      <c r="E47" s="56">
        <f>SUM(E26:E46)</f>
        <v>6116</v>
      </c>
      <c r="F47" s="56">
        <f>SUM(F26:F46)</f>
        <v>2795</v>
      </c>
      <c r="G47" s="56">
        <f>SUM(G26:G46)</f>
        <v>2675</v>
      </c>
      <c r="H47" s="56">
        <f>SUM(H26:H46)</f>
        <v>6790</v>
      </c>
      <c r="I47" s="56">
        <f>SUM(I26:I46)</f>
        <v>18376</v>
      </c>
      <c r="J47" s="48"/>
      <c r="K47" s="42"/>
    </row>
    <row r="48" spans="1:11" ht="5.0999999999999996" customHeight="1" x14ac:dyDescent="0.25">
      <c r="A48" s="42"/>
      <c r="B48" s="46"/>
      <c r="C48" s="42"/>
      <c r="D48" s="42"/>
      <c r="E48" s="55"/>
      <c r="F48" s="55"/>
      <c r="G48" s="55"/>
      <c r="H48" s="55"/>
      <c r="I48" s="55"/>
      <c r="J48" s="48"/>
      <c r="K48" s="42"/>
    </row>
    <row r="49" spans="1:11" ht="15.75" x14ac:dyDescent="0.25">
      <c r="A49" s="42"/>
      <c r="B49" s="46"/>
      <c r="C49" s="53" t="s">
        <v>121</v>
      </c>
      <c r="D49" s="42"/>
      <c r="E49" s="56">
        <f>E21-E47</f>
        <v>-1759</v>
      </c>
      <c r="F49" s="56">
        <f>F21-F47</f>
        <v>464</v>
      </c>
      <c r="G49" s="56">
        <f>G21-G47</f>
        <v>-1425</v>
      </c>
      <c r="H49" s="56">
        <f>H21-H47</f>
        <v>-1350</v>
      </c>
      <c r="I49" s="56">
        <f>I21-I47</f>
        <v>-4070</v>
      </c>
      <c r="J49" s="48"/>
      <c r="K49" s="42"/>
    </row>
    <row r="50" spans="1:11" ht="5.0999999999999996" customHeight="1" x14ac:dyDescent="0.25">
      <c r="A50" s="42"/>
      <c r="B50" s="46"/>
      <c r="C50" s="53"/>
      <c r="D50" s="42"/>
      <c r="E50" s="56"/>
      <c r="F50" s="56"/>
      <c r="G50" s="56"/>
      <c r="H50" s="56"/>
      <c r="I50" s="56"/>
      <c r="J50" s="48"/>
      <c r="K50" s="42"/>
    </row>
    <row r="51" spans="1:11" ht="5.0999999999999996" customHeight="1" thickBot="1" x14ac:dyDescent="0.3">
      <c r="A51" s="42"/>
      <c r="B51" s="57"/>
      <c r="C51" s="58"/>
      <c r="D51" s="58"/>
      <c r="E51" s="58"/>
      <c r="F51" s="58"/>
      <c r="G51" s="58"/>
      <c r="H51" s="58"/>
      <c r="I51" s="58"/>
      <c r="J51" s="59"/>
      <c r="K51" s="42"/>
    </row>
    <row r="52" spans="1:11" ht="5.0999999999999996" customHeigh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2"/>
  <sheetViews>
    <sheetView workbookViewId="0">
      <selection activeCell="H27" sqref="H27"/>
    </sheetView>
  </sheetViews>
  <sheetFormatPr defaultColWidth="8.7109375" defaultRowHeight="15" x14ac:dyDescent="0.25"/>
  <cols>
    <col min="1" max="2" width="1.5703125" customWidth="1"/>
    <col min="3" max="3" width="28.42578125" customWidth="1"/>
    <col min="4" max="4" width="1.5703125" customWidth="1"/>
    <col min="5" max="9" width="10.5703125" customWidth="1"/>
    <col min="10" max="11" width="1.5703125" customWidth="1"/>
    <col min="12" max="12" width="12" customWidth="1"/>
  </cols>
  <sheetData>
    <row r="1" spans="1:11" ht="5.0999999999999996" customHeight="1" thickBot="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5.0999999999999996" customHeight="1" x14ac:dyDescent="0.25">
      <c r="A2" s="42"/>
      <c r="B2" s="43"/>
      <c r="C2" s="44"/>
      <c r="D2" s="44"/>
      <c r="E2" s="44"/>
      <c r="F2" s="44"/>
      <c r="G2" s="44"/>
      <c r="H2" s="44"/>
      <c r="I2" s="44"/>
      <c r="J2" s="45"/>
      <c r="K2" s="42"/>
    </row>
    <row r="3" spans="1:11" ht="18.75" x14ac:dyDescent="0.3">
      <c r="A3" s="42"/>
      <c r="B3" s="46"/>
      <c r="C3" s="47" t="s">
        <v>0</v>
      </c>
      <c r="D3" s="42"/>
      <c r="E3" s="42"/>
      <c r="F3" s="42"/>
      <c r="G3" s="42"/>
      <c r="H3" s="42"/>
      <c r="I3" s="42"/>
      <c r="J3" s="48"/>
      <c r="K3" s="42"/>
    </row>
    <row r="4" spans="1:11" ht="18.75" x14ac:dyDescent="0.3">
      <c r="A4" s="42"/>
      <c r="B4" s="46"/>
      <c r="C4" s="47" t="s">
        <v>83</v>
      </c>
      <c r="D4" s="42"/>
      <c r="E4" s="42"/>
      <c r="F4" s="42"/>
      <c r="G4" s="42"/>
      <c r="H4" s="42"/>
      <c r="I4" s="42"/>
      <c r="J4" s="48"/>
      <c r="K4" s="42"/>
    </row>
    <row r="5" spans="1:11" ht="18.75" x14ac:dyDescent="0.3">
      <c r="A5" s="42"/>
      <c r="B5" s="46"/>
      <c r="C5" s="47" t="s">
        <v>4</v>
      </c>
      <c r="D5" s="42"/>
      <c r="E5" s="42"/>
      <c r="F5" s="42"/>
      <c r="G5" s="42"/>
      <c r="H5" s="42"/>
      <c r="I5" s="42"/>
      <c r="J5" s="48"/>
      <c r="K5" s="42"/>
    </row>
    <row r="6" spans="1:11" ht="5.0999999999999996" customHeight="1" x14ac:dyDescent="0.25">
      <c r="A6" s="42"/>
      <c r="B6" s="46"/>
      <c r="C6" s="42"/>
      <c r="D6" s="42"/>
      <c r="E6" s="42"/>
      <c r="F6" s="42"/>
      <c r="G6" s="42"/>
      <c r="H6" s="42"/>
      <c r="I6" s="42"/>
      <c r="J6" s="48"/>
      <c r="K6" s="42"/>
    </row>
    <row r="7" spans="1:11" s="7" customFormat="1" ht="14.45" customHeight="1" x14ac:dyDescent="0.3">
      <c r="A7" s="49"/>
      <c r="B7" s="50"/>
      <c r="C7" s="47"/>
      <c r="D7" s="49"/>
      <c r="E7" s="51" t="s">
        <v>68</v>
      </c>
      <c r="F7" s="51" t="s">
        <v>130</v>
      </c>
      <c r="G7" s="51" t="s">
        <v>69</v>
      </c>
      <c r="H7" s="51" t="s">
        <v>70</v>
      </c>
      <c r="I7" s="51" t="s">
        <v>100</v>
      </c>
      <c r="J7" s="52"/>
      <c r="K7" s="49"/>
    </row>
    <row r="8" spans="1:11" s="7" customFormat="1" ht="14.45" customHeight="1" x14ac:dyDescent="0.3">
      <c r="A8" s="49"/>
      <c r="B8" s="50"/>
      <c r="C8" s="47"/>
      <c r="D8" s="49"/>
      <c r="E8" s="51" t="s">
        <v>137</v>
      </c>
      <c r="F8" s="51" t="s">
        <v>137</v>
      </c>
      <c r="G8" s="51" t="s">
        <v>145</v>
      </c>
      <c r="H8" s="51" t="s">
        <v>79</v>
      </c>
      <c r="I8" s="51"/>
      <c r="J8" s="52"/>
      <c r="K8" s="49"/>
    </row>
    <row r="9" spans="1:11" ht="5.0999999999999996" customHeight="1" x14ac:dyDescent="0.25">
      <c r="A9" s="42"/>
      <c r="B9" s="46"/>
      <c r="C9" s="42"/>
      <c r="D9" s="42"/>
      <c r="E9" s="42"/>
      <c r="F9" s="42"/>
      <c r="G9" s="42"/>
      <c r="H9" s="42"/>
      <c r="I9" s="42"/>
      <c r="J9" s="48"/>
      <c r="K9" s="42"/>
    </row>
    <row r="10" spans="1:11" ht="15.75" x14ac:dyDescent="0.25">
      <c r="A10" s="42"/>
      <c r="B10" s="46"/>
      <c r="C10" s="53" t="s">
        <v>42</v>
      </c>
      <c r="D10" s="42"/>
      <c r="E10" s="54"/>
      <c r="F10" s="54"/>
      <c r="G10" s="42"/>
      <c r="H10" s="42"/>
      <c r="I10" s="42"/>
      <c r="J10" s="48"/>
      <c r="K10" s="42"/>
    </row>
    <row r="11" spans="1:11" x14ac:dyDescent="0.25">
      <c r="A11" s="42"/>
      <c r="B11" s="46"/>
      <c r="C11" s="42" t="s">
        <v>99</v>
      </c>
      <c r="D11" s="42"/>
      <c r="E11" s="55"/>
      <c r="F11" s="55"/>
      <c r="G11" s="55"/>
      <c r="H11" s="55">
        <v>0</v>
      </c>
      <c r="I11" s="55">
        <f>SUM(E11:H11)</f>
        <v>0</v>
      </c>
      <c r="J11" s="48"/>
      <c r="K11" s="42"/>
    </row>
    <row r="12" spans="1:11" x14ac:dyDescent="0.25">
      <c r="A12" s="42"/>
      <c r="B12" s="46"/>
      <c r="C12" s="42" t="s">
        <v>115</v>
      </c>
      <c r="D12" s="42"/>
      <c r="E12" s="55"/>
      <c r="F12" s="55"/>
      <c r="G12" s="55"/>
      <c r="H12" s="55">
        <v>0</v>
      </c>
      <c r="I12" s="55">
        <f t="shared" ref="I12:I22" si="0">SUM(E12:H12)</f>
        <v>0</v>
      </c>
      <c r="J12" s="48"/>
      <c r="K12" s="42"/>
    </row>
    <row r="13" spans="1:11" x14ac:dyDescent="0.25">
      <c r="A13" s="42"/>
      <c r="B13" s="46"/>
      <c r="C13" s="42" t="s">
        <v>116</v>
      </c>
      <c r="D13" s="42"/>
      <c r="F13" s="55"/>
      <c r="G13" s="42"/>
      <c r="H13" s="42"/>
      <c r="I13" s="55">
        <f t="shared" si="0"/>
        <v>0</v>
      </c>
      <c r="J13" s="48"/>
      <c r="K13" s="42"/>
    </row>
    <row r="14" spans="1:11" x14ac:dyDescent="0.25">
      <c r="A14" s="42"/>
      <c r="B14" s="46"/>
      <c r="C14" s="42" t="s">
        <v>117</v>
      </c>
      <c r="D14" s="42"/>
      <c r="E14" s="55"/>
      <c r="F14" s="55"/>
      <c r="G14" s="55"/>
      <c r="H14" s="55"/>
      <c r="I14" s="55">
        <f t="shared" si="0"/>
        <v>0</v>
      </c>
      <c r="J14" s="48"/>
      <c r="K14" s="42"/>
    </row>
    <row r="15" spans="1:11" x14ac:dyDescent="0.25">
      <c r="A15" s="42"/>
      <c r="B15" s="46"/>
      <c r="C15" s="42" t="s">
        <v>40</v>
      </c>
      <c r="D15" s="42"/>
      <c r="E15" s="55"/>
      <c r="F15" s="55"/>
      <c r="G15" s="55"/>
      <c r="H15" s="55">
        <v>0</v>
      </c>
      <c r="I15" s="55">
        <f>SUM(E15:H15)</f>
        <v>0</v>
      </c>
      <c r="J15" s="48"/>
      <c r="K15" s="42"/>
    </row>
    <row r="16" spans="1:11" x14ac:dyDescent="0.25">
      <c r="A16" s="42"/>
      <c r="B16" s="46"/>
      <c r="C16" s="42" t="s">
        <v>139</v>
      </c>
      <c r="D16" s="42"/>
      <c r="E16" s="55"/>
      <c r="F16" s="55"/>
      <c r="G16" s="55"/>
      <c r="H16" s="55">
        <v>0</v>
      </c>
      <c r="I16" s="55"/>
      <c r="J16" s="48"/>
      <c r="K16" s="42"/>
    </row>
    <row r="17" spans="1:12" x14ac:dyDescent="0.25">
      <c r="A17" s="42"/>
      <c r="B17" s="46"/>
      <c r="C17" s="42" t="s">
        <v>100</v>
      </c>
      <c r="D17" s="42"/>
      <c r="E17" s="55">
        <f>SUM(E11:E16)</f>
        <v>0</v>
      </c>
      <c r="F17" s="55">
        <f>SUM(F11:F16)</f>
        <v>0</v>
      </c>
      <c r="G17" s="55">
        <f>SUM(G11:G16)</f>
        <v>0</v>
      </c>
      <c r="H17" s="55">
        <f>SUM(H11:H16)</f>
        <v>0</v>
      </c>
      <c r="I17" s="55">
        <f t="shared" si="0"/>
        <v>0</v>
      </c>
      <c r="J17" s="48"/>
      <c r="K17" s="42"/>
    </row>
    <row r="18" spans="1:12" x14ac:dyDescent="0.25">
      <c r="A18" s="42"/>
      <c r="B18" s="46"/>
      <c r="C18" s="42" t="s">
        <v>44</v>
      </c>
      <c r="D18" s="42"/>
      <c r="E18" s="55"/>
      <c r="F18" s="55"/>
      <c r="G18" s="55"/>
      <c r="H18" s="55">
        <v>0</v>
      </c>
      <c r="I18" s="55">
        <f t="shared" si="0"/>
        <v>0</v>
      </c>
      <c r="J18" s="48"/>
      <c r="K18" s="42"/>
    </row>
    <row r="19" spans="1:12" x14ac:dyDescent="0.25">
      <c r="A19" s="42"/>
      <c r="B19" s="46"/>
      <c r="C19" s="42" t="s">
        <v>45</v>
      </c>
      <c r="D19" s="42"/>
      <c r="E19" s="55"/>
      <c r="F19" s="55"/>
      <c r="G19" s="55"/>
      <c r="H19" s="55">
        <v>0</v>
      </c>
      <c r="I19" s="55">
        <f t="shared" si="0"/>
        <v>0</v>
      </c>
      <c r="J19" s="48"/>
      <c r="K19" s="42"/>
    </row>
    <row r="20" spans="1:12" x14ac:dyDescent="0.25">
      <c r="A20" s="42"/>
      <c r="B20" s="46"/>
      <c r="C20" s="42" t="s">
        <v>102</v>
      </c>
      <c r="D20" s="42"/>
      <c r="E20" s="55"/>
      <c r="F20" s="55"/>
      <c r="G20" s="55"/>
      <c r="H20" s="55">
        <v>0</v>
      </c>
      <c r="I20" s="55">
        <f t="shared" si="0"/>
        <v>0</v>
      </c>
      <c r="J20" s="48"/>
      <c r="K20" s="42"/>
    </row>
    <row r="21" spans="1:12" s="7" customFormat="1" x14ac:dyDescent="0.25">
      <c r="A21" s="49"/>
      <c r="B21" s="50"/>
      <c r="C21" s="49" t="s">
        <v>82</v>
      </c>
      <c r="D21" s="49"/>
      <c r="E21" s="56">
        <f>SUM(E17:E20)</f>
        <v>0</v>
      </c>
      <c r="F21" s="56">
        <f>SUM(F17:F20)</f>
        <v>0</v>
      </c>
      <c r="G21" s="56">
        <f>SUM(G17:G20)</f>
        <v>0</v>
      </c>
      <c r="H21" s="56">
        <f>SUM(H17:H20)</f>
        <v>0</v>
      </c>
      <c r="I21" s="56">
        <f>SUM(I17:I20)</f>
        <v>0</v>
      </c>
      <c r="J21" s="52"/>
      <c r="K21" s="49"/>
    </row>
    <row r="22" spans="1:12" s="37" customFormat="1" x14ac:dyDescent="0.25">
      <c r="A22" s="66"/>
      <c r="B22" s="67"/>
      <c r="C22" s="66" t="s">
        <v>101</v>
      </c>
      <c r="D22" s="66"/>
      <c r="E22" s="68">
        <v>250</v>
      </c>
      <c r="F22" s="68">
        <v>350</v>
      </c>
      <c r="G22" s="68">
        <v>150</v>
      </c>
      <c r="H22" s="68">
        <v>275</v>
      </c>
      <c r="I22" s="55">
        <f t="shared" si="0"/>
        <v>1025</v>
      </c>
      <c r="J22" s="69"/>
      <c r="K22" s="66"/>
    </row>
    <row r="23" spans="1:12" ht="5.0999999999999996" customHeight="1" x14ac:dyDescent="0.25">
      <c r="A23" s="42"/>
      <c r="B23" s="46"/>
      <c r="C23" s="42"/>
      <c r="D23" s="42"/>
      <c r="E23" s="55"/>
      <c r="F23" s="55"/>
      <c r="G23" s="55"/>
      <c r="H23" s="55"/>
      <c r="I23" s="55"/>
      <c r="J23" s="48"/>
      <c r="K23" s="42"/>
    </row>
    <row r="24" spans="1:12" x14ac:dyDescent="0.25">
      <c r="A24" s="42"/>
      <c r="B24" s="46"/>
      <c r="C24" s="49" t="s">
        <v>16</v>
      </c>
      <c r="D24" s="42"/>
      <c r="E24" s="55"/>
      <c r="F24" s="55"/>
      <c r="G24" s="55"/>
      <c r="H24" s="55"/>
      <c r="I24" s="55"/>
      <c r="J24" s="48"/>
      <c r="K24" s="42"/>
    </row>
    <row r="25" spans="1:12" x14ac:dyDescent="0.25">
      <c r="A25" s="42"/>
      <c r="B25" s="46"/>
      <c r="C25" s="65" t="s">
        <v>118</v>
      </c>
      <c r="D25" s="42"/>
      <c r="E25" s="55"/>
      <c r="F25" s="55"/>
      <c r="G25" s="55"/>
      <c r="H25" s="55"/>
      <c r="I25" s="55"/>
      <c r="J25" s="48"/>
      <c r="K25" s="42"/>
    </row>
    <row r="26" spans="1:12" x14ac:dyDescent="0.25">
      <c r="A26" s="42"/>
      <c r="B26" s="46"/>
      <c r="C26" s="42" t="s">
        <v>47</v>
      </c>
      <c r="D26" s="42"/>
      <c r="E26" s="55">
        <f>Assumptions!$G$24</f>
        <v>675.24</v>
      </c>
      <c r="F26" s="55">
        <f>Assumptions!G24</f>
        <v>675.24</v>
      </c>
      <c r="G26" s="55">
        <v>363</v>
      </c>
      <c r="H26" s="55">
        <v>675</v>
      </c>
      <c r="I26" s="55">
        <f t="shared" ref="I26:I31" si="1">SUM(E26:H26)</f>
        <v>2388.48</v>
      </c>
      <c r="J26" s="48"/>
      <c r="K26" s="42"/>
    </row>
    <row r="27" spans="1:12" x14ac:dyDescent="0.25">
      <c r="A27" s="42"/>
      <c r="B27" s="46"/>
      <c r="C27" s="42" t="s">
        <v>48</v>
      </c>
      <c r="D27" s="42"/>
      <c r="E27" s="55"/>
      <c r="F27" s="55"/>
      <c r="G27" s="55"/>
      <c r="H27" s="55"/>
      <c r="I27" s="55">
        <f t="shared" si="1"/>
        <v>0</v>
      </c>
      <c r="J27" s="48"/>
      <c r="K27" s="42"/>
    </row>
    <row r="28" spans="1:12" x14ac:dyDescent="0.25">
      <c r="A28" s="42"/>
      <c r="B28" s="46"/>
      <c r="C28" s="42" t="s">
        <v>49</v>
      </c>
      <c r="D28" s="42"/>
      <c r="E28" s="55">
        <v>381</v>
      </c>
      <c r="F28" s="55">
        <f>Assumptions!G27</f>
        <v>381.48</v>
      </c>
      <c r="G28" s="55">
        <v>381</v>
      </c>
      <c r="H28" s="55"/>
      <c r="I28" s="55">
        <f t="shared" si="1"/>
        <v>1143.48</v>
      </c>
      <c r="J28" s="48"/>
      <c r="K28" s="42"/>
    </row>
    <row r="29" spans="1:12" x14ac:dyDescent="0.25">
      <c r="A29" s="42"/>
      <c r="B29" s="46"/>
      <c r="C29" s="42" t="s">
        <v>50</v>
      </c>
      <c r="D29" s="42"/>
      <c r="E29" s="55"/>
      <c r="F29" s="55"/>
      <c r="G29" s="55"/>
      <c r="H29" s="55">
        <v>0</v>
      </c>
      <c r="I29" s="55">
        <f t="shared" si="1"/>
        <v>0</v>
      </c>
      <c r="J29" s="48"/>
      <c r="K29" s="42"/>
      <c r="L29" t="s">
        <v>153</v>
      </c>
    </row>
    <row r="30" spans="1:12" x14ac:dyDescent="0.25">
      <c r="A30" s="42"/>
      <c r="B30" s="46"/>
      <c r="C30" s="42" t="s">
        <v>51</v>
      </c>
      <c r="D30" s="42"/>
      <c r="E30" s="55"/>
      <c r="F30" s="55"/>
      <c r="G30" s="55"/>
      <c r="H30" s="55"/>
      <c r="I30" s="55">
        <f t="shared" si="1"/>
        <v>0</v>
      </c>
      <c r="J30" s="48"/>
      <c r="K30" s="42"/>
    </row>
    <row r="31" spans="1:12" x14ac:dyDescent="0.25">
      <c r="A31" s="42"/>
      <c r="B31" s="46"/>
      <c r="C31" s="42" t="s">
        <v>52</v>
      </c>
      <c r="D31" s="42"/>
      <c r="E31" s="55"/>
      <c r="F31" s="55"/>
      <c r="G31" s="55"/>
      <c r="H31" s="55"/>
      <c r="I31" s="55">
        <f t="shared" si="1"/>
        <v>0</v>
      </c>
      <c r="J31" s="48"/>
      <c r="K31" s="42"/>
    </row>
    <row r="32" spans="1:12" x14ac:dyDescent="0.25">
      <c r="A32" s="42"/>
      <c r="B32" s="46"/>
      <c r="C32" s="65" t="s">
        <v>53</v>
      </c>
      <c r="D32" s="42"/>
      <c r="E32" s="55"/>
      <c r="F32" s="55"/>
      <c r="G32" s="55"/>
      <c r="H32" s="55"/>
      <c r="I32" s="55"/>
      <c r="J32" s="48"/>
      <c r="K32" s="42"/>
    </row>
    <row r="33" spans="1:12" x14ac:dyDescent="0.25">
      <c r="A33" s="42"/>
      <c r="B33" s="46"/>
      <c r="C33" s="42" t="s">
        <v>54</v>
      </c>
      <c r="D33" s="42"/>
      <c r="E33" s="55"/>
      <c r="F33" s="55"/>
      <c r="G33" s="55">
        <v>-20</v>
      </c>
      <c r="H33" s="55">
        <v>0</v>
      </c>
      <c r="I33" s="55">
        <f>SUM(E33:H33)</f>
        <v>-20</v>
      </c>
      <c r="J33" s="48"/>
      <c r="K33" s="42"/>
    </row>
    <row r="34" spans="1:12" x14ac:dyDescent="0.25">
      <c r="A34" s="42"/>
      <c r="B34" s="46"/>
      <c r="C34" s="42" t="s">
        <v>55</v>
      </c>
      <c r="D34" s="42"/>
      <c r="E34" s="55"/>
      <c r="F34" s="55"/>
      <c r="G34" s="55"/>
      <c r="H34" s="55">
        <v>0</v>
      </c>
      <c r="I34" s="55">
        <f>SUM(E34:H34)</f>
        <v>0</v>
      </c>
      <c r="J34" s="48"/>
      <c r="K34" s="42"/>
    </row>
    <row r="35" spans="1:12" x14ac:dyDescent="0.25">
      <c r="A35" s="42"/>
      <c r="B35" s="46"/>
      <c r="C35" s="42" t="s">
        <v>56</v>
      </c>
      <c r="D35" s="42"/>
      <c r="E35" s="55"/>
      <c r="F35" s="55"/>
      <c r="G35" s="55"/>
      <c r="H35" s="55">
        <v>0</v>
      </c>
      <c r="I35" s="55">
        <f>SUM(E35:H35)</f>
        <v>0</v>
      </c>
      <c r="J35" s="48"/>
      <c r="K35" s="42"/>
    </row>
    <row r="36" spans="1:12" x14ac:dyDescent="0.25">
      <c r="A36" s="42"/>
      <c r="B36" s="46"/>
      <c r="C36" s="42" t="s">
        <v>57</v>
      </c>
      <c r="D36" s="42"/>
      <c r="E36" s="55"/>
      <c r="F36" s="55"/>
      <c r="G36" s="55"/>
      <c r="H36" s="55"/>
      <c r="I36" s="55">
        <f>SUM(E36:H36)</f>
        <v>0</v>
      </c>
      <c r="J36" s="48"/>
      <c r="K36" s="42"/>
    </row>
    <row r="37" spans="1:12" x14ac:dyDescent="0.25">
      <c r="A37" s="42"/>
      <c r="B37" s="46"/>
      <c r="C37" s="65" t="s">
        <v>58</v>
      </c>
      <c r="D37" s="42"/>
      <c r="E37" s="55"/>
      <c r="F37" s="55"/>
      <c r="G37" s="55"/>
      <c r="H37" s="55"/>
      <c r="I37" s="55"/>
      <c r="J37" s="48"/>
      <c r="K37" s="42"/>
    </row>
    <row r="38" spans="1:12" x14ac:dyDescent="0.25">
      <c r="A38" s="42"/>
      <c r="B38" s="46"/>
      <c r="C38" s="42" t="s">
        <v>43</v>
      </c>
      <c r="D38" s="42"/>
      <c r="E38" s="55"/>
      <c r="F38" s="55"/>
      <c r="G38" s="55"/>
      <c r="H38" s="55"/>
      <c r="I38" s="55">
        <f>SUM(E38:H38)</f>
        <v>0</v>
      </c>
      <c r="J38" s="48"/>
      <c r="K38" s="42"/>
    </row>
    <row r="39" spans="1:12" x14ac:dyDescent="0.25">
      <c r="A39" s="42"/>
      <c r="B39" s="46"/>
      <c r="C39" s="42" t="s">
        <v>30</v>
      </c>
      <c r="D39" s="42"/>
      <c r="E39" s="55"/>
      <c r="F39" s="55"/>
      <c r="G39" s="55"/>
      <c r="H39" s="55">
        <v>0</v>
      </c>
      <c r="I39" s="55">
        <f>SUM(E39:H39)</f>
        <v>0</v>
      </c>
      <c r="J39" s="48"/>
      <c r="K39" s="42"/>
    </row>
    <row r="40" spans="1:12" x14ac:dyDescent="0.25">
      <c r="A40" s="42"/>
      <c r="B40" s="46"/>
      <c r="C40" s="42" t="s">
        <v>119</v>
      </c>
      <c r="D40" s="42"/>
      <c r="E40" s="55"/>
      <c r="F40" s="55"/>
      <c r="G40" s="55"/>
      <c r="H40" s="55">
        <v>0</v>
      </c>
      <c r="I40" s="55">
        <f>SUM(E40:H40)</f>
        <v>0</v>
      </c>
      <c r="J40" s="48"/>
      <c r="K40" s="42"/>
    </row>
    <row r="41" spans="1:12" x14ac:dyDescent="0.25">
      <c r="A41" s="42"/>
      <c r="B41" s="46"/>
      <c r="C41" s="42" t="s">
        <v>60</v>
      </c>
      <c r="D41" s="42"/>
      <c r="E41" s="55"/>
      <c r="F41" s="55"/>
      <c r="G41" s="55"/>
      <c r="H41" s="55">
        <v>0</v>
      </c>
      <c r="I41" s="55">
        <f>SUM(E41:H41)</f>
        <v>0</v>
      </c>
      <c r="J41" s="48"/>
      <c r="K41" s="42"/>
    </row>
    <row r="42" spans="1:12" x14ac:dyDescent="0.25">
      <c r="A42" s="42"/>
      <c r="B42" s="46"/>
      <c r="C42" s="65" t="s">
        <v>120</v>
      </c>
      <c r="D42" s="42"/>
      <c r="E42" s="55"/>
      <c r="F42" s="55"/>
      <c r="G42" s="55"/>
      <c r="H42" s="55"/>
      <c r="I42" s="55"/>
      <c r="J42" s="48"/>
      <c r="K42" s="42"/>
    </row>
    <row r="43" spans="1:12" x14ac:dyDescent="0.25">
      <c r="A43" s="42"/>
      <c r="B43" s="46"/>
      <c r="C43" s="42" t="s">
        <v>45</v>
      </c>
      <c r="D43" s="42"/>
      <c r="E43" s="55"/>
      <c r="F43" s="55"/>
      <c r="G43" s="55"/>
      <c r="H43" s="55"/>
      <c r="I43" s="55">
        <f>SUM(E43:H43)</f>
        <v>0</v>
      </c>
      <c r="J43" s="48"/>
      <c r="K43" s="42"/>
    </row>
    <row r="44" spans="1:12" x14ac:dyDescent="0.25">
      <c r="A44" s="42"/>
      <c r="B44" s="46"/>
      <c r="C44" s="42" t="s">
        <v>64</v>
      </c>
      <c r="D44" s="42"/>
      <c r="E44" s="55"/>
      <c r="F44" s="55"/>
      <c r="G44" s="55"/>
      <c r="H44" s="55">
        <v>0</v>
      </c>
      <c r="I44" s="55">
        <f>SUM(E44:H44)</f>
        <v>0</v>
      </c>
      <c r="J44" s="48"/>
      <c r="K44" s="42"/>
    </row>
    <row r="45" spans="1:12" x14ac:dyDescent="0.25">
      <c r="A45" s="42"/>
      <c r="B45" s="46"/>
      <c r="C45" s="42" t="s">
        <v>65</v>
      </c>
      <c r="D45" s="42"/>
      <c r="E45" s="55"/>
      <c r="F45" s="55"/>
      <c r="G45" s="55"/>
      <c r="H45" s="55">
        <v>0</v>
      </c>
      <c r="I45" s="55">
        <f>SUM(E45:H45)</f>
        <v>0</v>
      </c>
      <c r="J45" s="48"/>
      <c r="K45" s="42"/>
    </row>
    <row r="46" spans="1:12" x14ac:dyDescent="0.25">
      <c r="A46" s="42"/>
      <c r="B46" s="46"/>
      <c r="C46" s="42" t="s">
        <v>144</v>
      </c>
      <c r="D46" s="42"/>
      <c r="E46" s="55"/>
      <c r="F46" s="55"/>
      <c r="G46" s="55">
        <v>0</v>
      </c>
      <c r="H46" s="55">
        <v>0</v>
      </c>
      <c r="I46" s="55">
        <f>SUM(E46:H46)</f>
        <v>0</v>
      </c>
      <c r="J46" s="48"/>
      <c r="K46" s="42"/>
      <c r="L46" t="s">
        <v>152</v>
      </c>
    </row>
    <row r="47" spans="1:12" ht="15.75" x14ac:dyDescent="0.25">
      <c r="A47" s="42"/>
      <c r="B47" s="46"/>
      <c r="C47" s="53" t="s">
        <v>16</v>
      </c>
      <c r="D47" s="42"/>
      <c r="E47" s="56">
        <f>SUM(E26:E46)</f>
        <v>1056.24</v>
      </c>
      <c r="F47" s="56">
        <f>SUM(F26:F46)</f>
        <v>1056.72</v>
      </c>
      <c r="G47" s="56">
        <f>SUM(G26:G46)</f>
        <v>724</v>
      </c>
      <c r="H47" s="56">
        <f>SUM(H26:H46)</f>
        <v>675</v>
      </c>
      <c r="I47" s="56">
        <f>SUM(I26:I46)</f>
        <v>3511.96</v>
      </c>
      <c r="J47" s="48"/>
      <c r="K47" s="42"/>
    </row>
    <row r="48" spans="1:12" ht="5.0999999999999996" customHeight="1" x14ac:dyDescent="0.25">
      <c r="A48" s="42"/>
      <c r="B48" s="46"/>
      <c r="C48" s="42"/>
      <c r="D48" s="42"/>
      <c r="E48" s="55"/>
      <c r="F48" s="55"/>
      <c r="G48" s="55"/>
      <c r="H48" s="55"/>
      <c r="I48" s="55"/>
      <c r="J48" s="48"/>
      <c r="K48" s="42"/>
    </row>
    <row r="49" spans="1:11" ht="15.75" x14ac:dyDescent="0.25">
      <c r="A49" s="42"/>
      <c r="B49" s="46"/>
      <c r="C49" s="53" t="s">
        <v>121</v>
      </c>
      <c r="D49" s="42"/>
      <c r="E49" s="56">
        <f>E21-E47</f>
        <v>-1056.24</v>
      </c>
      <c r="F49" s="56">
        <f>F21-F47</f>
        <v>-1056.72</v>
      </c>
      <c r="G49" s="56">
        <f>G21-G47</f>
        <v>-724</v>
      </c>
      <c r="H49" s="56">
        <f>H21-H47</f>
        <v>-675</v>
      </c>
      <c r="I49" s="56">
        <f>I21-I47</f>
        <v>-3511.96</v>
      </c>
      <c r="J49" s="48"/>
      <c r="K49" s="42"/>
    </row>
    <row r="50" spans="1:11" ht="5.0999999999999996" customHeight="1" x14ac:dyDescent="0.25">
      <c r="A50" s="42"/>
      <c r="B50" s="46"/>
      <c r="C50" s="53"/>
      <c r="D50" s="42"/>
      <c r="E50" s="56"/>
      <c r="F50" s="56"/>
      <c r="G50" s="56"/>
      <c r="H50" s="56"/>
      <c r="I50" s="56"/>
      <c r="J50" s="48"/>
      <c r="K50" s="42"/>
    </row>
    <row r="51" spans="1:11" ht="5.0999999999999996" customHeight="1" thickBot="1" x14ac:dyDescent="0.3">
      <c r="A51" s="42"/>
      <c r="B51" s="57"/>
      <c r="C51" s="58"/>
      <c r="D51" s="58"/>
      <c r="E51" s="58"/>
      <c r="F51" s="58"/>
      <c r="G51" s="58"/>
      <c r="H51" s="58"/>
      <c r="I51" s="58"/>
      <c r="J51" s="59"/>
      <c r="K51" s="42"/>
    </row>
    <row r="52" spans="1:11" ht="5.0999999999999996" customHeigh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Summary</vt:lpstr>
      <vt:lpstr>Management accounts</vt:lpstr>
      <vt:lpstr>Assumptions</vt:lpstr>
      <vt:lpstr>Non concert</vt:lpstr>
      <vt:lpstr>SD summary</vt:lpstr>
      <vt:lpstr>Concert summary</vt:lpstr>
      <vt:lpstr>1819 concert</vt:lpstr>
      <vt:lpstr>1920 concert</vt:lpstr>
      <vt:lpstr>2021 concert</vt:lpstr>
      <vt:lpstr>2122 concert</vt:lpstr>
      <vt:lpstr>2223 concert</vt:lpstr>
      <vt:lpstr>2324 concert</vt:lpstr>
      <vt:lpstr>Blank</vt:lpstr>
      <vt:lpstr>Blank!Print_Area</vt:lpstr>
      <vt:lpstr>'Management accounts'!Print_Area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Shaw</dc:creator>
  <cp:keywords/>
  <dc:description/>
  <cp:lastModifiedBy>Laura Mummery</cp:lastModifiedBy>
  <cp:revision/>
  <cp:lastPrinted>2023-07-17T15:03:08Z</cp:lastPrinted>
  <dcterms:created xsi:type="dcterms:W3CDTF">2011-11-04T05:15:53Z</dcterms:created>
  <dcterms:modified xsi:type="dcterms:W3CDTF">2024-04-10T07:52:28Z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0927df-381f-4b47-9442-9474f463c8ff_Enabled">
    <vt:lpwstr>True</vt:lpwstr>
  </property>
  <property fmtid="{D5CDD505-2E9C-101B-9397-08002B2CF9AE}" pid="3" name="MSIP_Label_700927df-381f-4b47-9442-9474f463c8ff_SiteId">
    <vt:lpwstr>08103169-4a6e-4778-9735-09cc96096d8f</vt:lpwstr>
  </property>
  <property fmtid="{D5CDD505-2E9C-101B-9397-08002B2CF9AE}" pid="4" name="MSIP_Label_700927df-381f-4b47-9442-9474f463c8ff_Owner">
    <vt:lpwstr>Laura.Shaw@growthco.uk</vt:lpwstr>
  </property>
  <property fmtid="{D5CDD505-2E9C-101B-9397-08002B2CF9AE}" pid="5" name="MSIP_Label_700927df-381f-4b47-9442-9474f463c8ff_SetDate">
    <vt:lpwstr>2019-04-17T11:53:49.8103570Z</vt:lpwstr>
  </property>
  <property fmtid="{D5CDD505-2E9C-101B-9397-08002B2CF9AE}" pid="6" name="MSIP_Label_700927df-381f-4b47-9442-9474f463c8ff_Name">
    <vt:lpwstr>Internal Personal and Confidential</vt:lpwstr>
  </property>
  <property fmtid="{D5CDD505-2E9C-101B-9397-08002B2CF9AE}" pid="7" name="MSIP_Label_700927df-381f-4b47-9442-9474f463c8ff_Application">
    <vt:lpwstr>Microsoft Azure Information Protection</vt:lpwstr>
  </property>
  <property fmtid="{D5CDD505-2E9C-101B-9397-08002B2CF9AE}" pid="8" name="MSIP_Label_700927df-381f-4b47-9442-9474f463c8ff_Extended_MSFT_Method">
    <vt:lpwstr>Automatic</vt:lpwstr>
  </property>
  <property fmtid="{D5CDD505-2E9C-101B-9397-08002B2CF9AE}" pid="9" name="Sensitivity">
    <vt:lpwstr>Internal Personal and Confidential</vt:lpwstr>
  </property>
</Properties>
</file>